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Z:\Cap Re\Teams\LLP 5\Business Operations\Analytics\AdHoc Pricing\Munich Re\BeazleyMRe Combo\Modelling\"/>
    </mc:Choice>
  </mc:AlternateContent>
  <xr:revisionPtr revIDLastSave="0" documentId="13_ncr:1_{125957B2-8070-4D31-AEC5-11DF1C9A2B94}" xr6:coauthVersionLast="47" xr6:coauthVersionMax="47" xr10:uidLastSave="{00000000-0000-0000-0000-000000000000}"/>
  <workbookProtection workbookAlgorithmName="SHA-512" workbookHashValue="MlgwIuUIBRC+IFDSnq09HMiIPCX9IKsPjywUg2of0nuPIu9mR2vCTjoMHus6/U6qG8FGl1GomgLSNMnBBTMP8Q==" workbookSaltValue="NJIWfU3AD/JqER4vEGJjug==" workbookSpinCount="100000" lockStructure="1"/>
  <bookViews>
    <workbookView xWindow="9390" yWindow="-21600" windowWidth="19200" windowHeight="21000" xr2:uid="{1F838613-A1CC-45A8-AEF1-2B68D5C4B577}"/>
  </bookViews>
  <sheets>
    <sheet name="Title" sheetId="13" r:id="rId1"/>
    <sheet name="User Guide" sheetId="15" r:id="rId2"/>
    <sheet name="Results" sheetId="12" r:id="rId3"/>
    <sheet name="Calculation" sheetId="16" r:id="rId4"/>
    <sheet name="Mapping" sheetId="4" r:id="rId5"/>
    <sheet name="Parameters" sheetId="2" r:id="rId6"/>
    <sheet name="Disclaimer" sheetId="14" r:id="rId7"/>
  </sheets>
  <definedNames>
    <definedName name="Additional_Cost_Loading">Parameters!$W$6:$Y$10</definedName>
    <definedName name="CBI_Parameters">Parameters!$AB$6:$AC$8</definedName>
    <definedName name="Event_Industries_Exposed">Parameters!$BW$6:$BZ$30</definedName>
    <definedName name="Fixed_Costs_by_Ind_Rev">Parameters!$AF$6:$AK$30</definedName>
    <definedName name="Gross_Profit_Margin">Parameters!$AN$6:$AO$30</definedName>
    <definedName name="Region_downscale_factor">Parameters!$C$7:$G$11</definedName>
    <definedName name="Regional_DS_Lookup">Parameters!$C$13:$D$17</definedName>
    <definedName name="Revenue_Impact_Percentage">Parameters!$BT$6:$BU$11</definedName>
    <definedName name="Risk_Category_matrix">Parameters!$K$6:$P$30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16" l="1"/>
  <c r="AA7" i="16"/>
  <c r="AA8" i="16"/>
  <c r="AA9" i="16"/>
  <c r="AA10" i="16"/>
  <c r="AA11" i="16"/>
  <c r="AA12" i="16"/>
  <c r="AA13" i="16"/>
  <c r="AA14" i="16"/>
  <c r="AA15" i="16"/>
  <c r="AA16" i="16"/>
  <c r="AA17" i="16"/>
  <c r="AA18" i="16"/>
  <c r="AA19" i="16"/>
  <c r="AA20" i="16"/>
  <c r="AA21" i="16"/>
  <c r="AA22" i="16"/>
  <c r="AA23" i="16"/>
  <c r="AA24" i="16"/>
  <c r="AA5" i="16"/>
  <c r="N5" i="16"/>
  <c r="I29" i="12"/>
  <c r="D13" i="2" l="1"/>
  <c r="I15" i="12"/>
  <c r="I16" i="12"/>
  <c r="I17" i="12"/>
  <c r="I18" i="12"/>
  <c r="I19" i="12"/>
  <c r="I20" i="12"/>
  <c r="I21" i="12"/>
  <c r="I22" i="12"/>
  <c r="I23" i="12"/>
  <c r="I24" i="12"/>
  <c r="I25" i="12"/>
  <c r="I26" i="12"/>
  <c r="I27" i="12"/>
  <c r="I28" i="12"/>
  <c r="I30" i="12"/>
  <c r="I31" i="12"/>
  <c r="I32" i="12"/>
  <c r="I33" i="12"/>
  <c r="I34" i="12"/>
  <c r="I35" i="12"/>
  <c r="I36" i="12"/>
  <c r="I37" i="12"/>
  <c r="I14" i="12"/>
  <c r="L6" i="16"/>
  <c r="M6" i="16"/>
  <c r="BA6" i="16"/>
  <c r="L7" i="16"/>
  <c r="M7" i="16"/>
  <c r="BA7" i="16"/>
  <c r="L8" i="16"/>
  <c r="M8" i="16"/>
  <c r="P8" i="16" s="1"/>
  <c r="BA8" i="16"/>
  <c r="L9" i="16"/>
  <c r="M9" i="16"/>
  <c r="BA9" i="16"/>
  <c r="L10" i="16"/>
  <c r="M10" i="16"/>
  <c r="BA10" i="16"/>
  <c r="L11" i="16"/>
  <c r="M11" i="16"/>
  <c r="BA11" i="16"/>
  <c r="L12" i="16"/>
  <c r="O12" i="16" s="1"/>
  <c r="M12" i="16"/>
  <c r="BA12" i="16"/>
  <c r="L13" i="16"/>
  <c r="O13" i="16" s="1"/>
  <c r="M13" i="16"/>
  <c r="P13" i="16" s="1"/>
  <c r="BA13" i="16"/>
  <c r="L14" i="16"/>
  <c r="O14" i="16" s="1"/>
  <c r="M14" i="16"/>
  <c r="P14" i="16" s="1"/>
  <c r="BA14" i="16"/>
  <c r="L15" i="16"/>
  <c r="M15" i="16"/>
  <c r="BA15" i="16"/>
  <c r="L16" i="16"/>
  <c r="O16" i="16" s="1"/>
  <c r="M16" i="16"/>
  <c r="BA16" i="16"/>
  <c r="L17" i="16"/>
  <c r="M17" i="16"/>
  <c r="BA17" i="16"/>
  <c r="L18" i="16"/>
  <c r="M18" i="16"/>
  <c r="P18" i="16" s="1"/>
  <c r="BA18" i="16"/>
  <c r="L19" i="16"/>
  <c r="M19" i="16"/>
  <c r="BA19" i="16"/>
  <c r="L20" i="16"/>
  <c r="M20" i="16"/>
  <c r="P20" i="16" s="1"/>
  <c r="BA20" i="16"/>
  <c r="L21" i="16"/>
  <c r="M21" i="16"/>
  <c r="BA21" i="16"/>
  <c r="L22" i="16"/>
  <c r="O22" i="16" s="1"/>
  <c r="M22" i="16"/>
  <c r="BA22" i="16"/>
  <c r="L23" i="16"/>
  <c r="O23" i="16" s="1"/>
  <c r="M23" i="16"/>
  <c r="BA23" i="16"/>
  <c r="L24" i="16"/>
  <c r="O24" i="16" s="1"/>
  <c r="M24" i="16"/>
  <c r="P24" i="16" s="1"/>
  <c r="BA24" i="16"/>
  <c r="BA5" i="16"/>
  <c r="M5" i="16"/>
  <c r="P5" i="16" s="1"/>
  <c r="L5" i="16"/>
  <c r="O5" i="16" s="1"/>
  <c r="BX33" i="2"/>
  <c r="BP7" i="2"/>
  <c r="N15" i="16" l="1"/>
  <c r="R15" i="16" s="1"/>
  <c r="P12" i="16"/>
  <c r="P11" i="16"/>
  <c r="O15" i="16"/>
  <c r="P22" i="16"/>
  <c r="N22" i="16"/>
  <c r="R22" i="16" s="1"/>
  <c r="N17" i="16"/>
  <c r="R17" i="16" s="1"/>
  <c r="N6" i="16"/>
  <c r="R6" i="16" s="1"/>
  <c r="P23" i="16"/>
  <c r="N23" i="16"/>
  <c r="R23" i="16" s="1"/>
  <c r="P10" i="16"/>
  <c r="P17" i="16"/>
  <c r="N10" i="16"/>
  <c r="R10" i="16" s="1"/>
  <c r="N11" i="16"/>
  <c r="R11" i="16" s="1"/>
  <c r="N20" i="16"/>
  <c r="R20" i="16" s="1"/>
  <c r="P6" i="16"/>
  <c r="N16" i="16"/>
  <c r="R16" i="16" s="1"/>
  <c r="P15" i="16"/>
  <c r="N12" i="16"/>
  <c r="R12" i="16" s="1"/>
  <c r="N19" i="16"/>
  <c r="R19" i="16" s="1"/>
  <c r="P19" i="16"/>
  <c r="N14" i="16"/>
  <c r="R14" i="16" s="1"/>
  <c r="P16" i="16"/>
  <c r="N9" i="16"/>
  <c r="R9" i="16" s="1"/>
  <c r="P9" i="16"/>
  <c r="N21" i="16"/>
  <c r="R21" i="16" s="1"/>
  <c r="P21" i="16"/>
  <c r="N13" i="16"/>
  <c r="R13" i="16" s="1"/>
  <c r="N24" i="16"/>
  <c r="R24" i="16" s="1"/>
  <c r="N18" i="16"/>
  <c r="R18" i="16" s="1"/>
  <c r="N8" i="16"/>
  <c r="R8" i="16" s="1"/>
  <c r="N7" i="16"/>
  <c r="R7" i="16" s="1"/>
  <c r="P7" i="16"/>
  <c r="R5" i="16"/>
  <c r="BR8" i="2"/>
  <c r="BQ8" i="2" s="1"/>
  <c r="BR9" i="2"/>
  <c r="BQ9" i="2" s="1"/>
  <c r="BR10" i="2"/>
  <c r="BQ10" i="2" s="1"/>
  <c r="BR11" i="2"/>
  <c r="BQ11" i="2" s="1"/>
  <c r="BR12" i="2"/>
  <c r="BQ12" i="2" s="1"/>
  <c r="BR13" i="2"/>
  <c r="BQ13" i="2" s="1"/>
  <c r="BR14" i="2"/>
  <c r="BQ14" i="2" s="1"/>
  <c r="BR15" i="2"/>
  <c r="BQ15" i="2" s="1"/>
  <c r="BR16" i="2"/>
  <c r="BQ16" i="2" s="1"/>
  <c r="BR17" i="2"/>
  <c r="BQ17" i="2" s="1"/>
  <c r="BR18" i="2"/>
  <c r="BQ18" i="2" s="1"/>
  <c r="BR19" i="2"/>
  <c r="BQ19" i="2" s="1"/>
  <c r="BR20" i="2"/>
  <c r="BQ20" i="2" s="1"/>
  <c r="BR21" i="2"/>
  <c r="BQ21" i="2" s="1"/>
  <c r="BR22" i="2"/>
  <c r="BQ22" i="2" s="1"/>
  <c r="BR23" i="2"/>
  <c r="BQ23" i="2" s="1"/>
  <c r="BR24" i="2"/>
  <c r="BQ24" i="2" s="1"/>
  <c r="BR25" i="2"/>
  <c r="BQ25" i="2" s="1"/>
  <c r="BR26" i="2"/>
  <c r="BQ26" i="2" s="1"/>
  <c r="BR27" i="2"/>
  <c r="BQ27" i="2" s="1"/>
  <c r="BR7" i="2"/>
  <c r="BQ7" i="2" s="1"/>
  <c r="BZ6" i="2" l="1"/>
  <c r="BY6" i="2"/>
  <c r="BX6" i="2"/>
  <c r="BU8" i="2"/>
  <c r="O10" i="16" l="1"/>
  <c r="O20" i="16"/>
  <c r="O21" i="16"/>
  <c r="O11" i="16"/>
  <c r="BU9" i="2"/>
  <c r="O8" i="16" s="1"/>
  <c r="O17" i="16"/>
  <c r="BX56" i="2"/>
  <c r="BX35" i="2"/>
  <c r="BX57" i="2"/>
  <c r="BX55" i="2"/>
  <c r="BX40" i="2"/>
  <c r="BX54" i="2"/>
  <c r="BX51" i="2"/>
  <c r="BX53" i="2"/>
  <c r="BX39" i="2"/>
  <c r="BX52" i="2"/>
  <c r="BX50" i="2"/>
  <c r="BX46" i="2"/>
  <c r="BX38" i="2"/>
  <c r="BX45" i="2"/>
  <c r="BX49" i="2"/>
  <c r="BX44" i="2"/>
  <c r="U19" i="16" s="1"/>
  <c r="BX37" i="2"/>
  <c r="U18" i="16" s="1"/>
  <c r="BX43" i="2"/>
  <c r="BX48" i="2"/>
  <c r="BX42" i="2"/>
  <c r="BX36" i="2"/>
  <c r="BX34" i="2"/>
  <c r="BX47" i="2"/>
  <c r="BX41" i="2"/>
  <c r="AS21" i="2"/>
  <c r="AR22" i="2" s="1"/>
  <c r="AS14" i="2"/>
  <c r="AR20" i="2" s="1"/>
  <c r="AS7" i="2"/>
  <c r="AX24" i="2"/>
  <c r="AX27" i="2"/>
  <c r="AX23" i="2"/>
  <c r="AX22" i="2"/>
  <c r="BP21" i="2"/>
  <c r="AX21" i="2"/>
  <c r="BC21" i="2" s="1"/>
  <c r="BH21" i="2" s="1"/>
  <c r="BM21" i="2" s="1"/>
  <c r="BP15" i="2"/>
  <c r="AX20" i="2"/>
  <c r="BP14" i="2"/>
  <c r="AX14" i="2"/>
  <c r="BC14" i="2" s="1"/>
  <c r="BH14" i="2" s="1"/>
  <c r="BM14" i="2" s="1"/>
  <c r="BP6" i="2"/>
  <c r="BO6" i="2"/>
  <c r="BI5" i="2"/>
  <c r="BD5" i="2"/>
  <c r="AY5" i="2"/>
  <c r="AT5" i="2"/>
  <c r="AX13" i="2"/>
  <c r="BC13" i="2" s="1"/>
  <c r="AX8" i="2"/>
  <c r="AX7" i="2"/>
  <c r="BC7" i="2" s="1"/>
  <c r="BH7" i="2" s="1"/>
  <c r="BM7" i="2" s="1"/>
  <c r="U20" i="16" l="1"/>
  <c r="U22" i="16"/>
  <c r="U17" i="16"/>
  <c r="U21" i="16"/>
  <c r="AR12" i="2"/>
  <c r="C9" i="12"/>
  <c r="C8" i="12"/>
  <c r="C7" i="12"/>
  <c r="C6" i="12"/>
  <c r="U10" i="16"/>
  <c r="U13" i="16"/>
  <c r="BU10" i="2"/>
  <c r="O7" i="16"/>
  <c r="O18" i="16"/>
  <c r="O9" i="16"/>
  <c r="U8" i="16"/>
  <c r="U5" i="16"/>
  <c r="U23" i="16"/>
  <c r="U7" i="16"/>
  <c r="U16" i="16"/>
  <c r="U9" i="16"/>
  <c r="U24" i="16"/>
  <c r="U6" i="16"/>
  <c r="U11" i="16"/>
  <c r="U15" i="16"/>
  <c r="U12" i="16"/>
  <c r="U14" i="16"/>
  <c r="AR23" i="2"/>
  <c r="AR14" i="2"/>
  <c r="AR11" i="2"/>
  <c r="AR24" i="2"/>
  <c r="AR25" i="2"/>
  <c r="AR26" i="2"/>
  <c r="AR27" i="2"/>
  <c r="AR21" i="2"/>
  <c r="AR15" i="2"/>
  <c r="AR16" i="2"/>
  <c r="AR17" i="2"/>
  <c r="AR18" i="2"/>
  <c r="AR19" i="2"/>
  <c r="AR10" i="2"/>
  <c r="AR9" i="2"/>
  <c r="AR8" i="2"/>
  <c r="AR7" i="2"/>
  <c r="AR13" i="2"/>
  <c r="AX16" i="2"/>
  <c r="BC20" i="2"/>
  <c r="BH20" i="2" s="1"/>
  <c r="BM20" i="2" s="1"/>
  <c r="BP20" i="2"/>
  <c r="BC23" i="2"/>
  <c r="BH23" i="2" s="1"/>
  <c r="BC27" i="2"/>
  <c r="BH27" i="2" s="1"/>
  <c r="BM27" i="2" s="1"/>
  <c r="AX25" i="2"/>
  <c r="BP27" i="2"/>
  <c r="AX15" i="2"/>
  <c r="BC15" i="2" s="1"/>
  <c r="BH15" i="2" s="1"/>
  <c r="BM15" i="2" s="1"/>
  <c r="BC22" i="2"/>
  <c r="BH22" i="2" s="1"/>
  <c r="AX26" i="2"/>
  <c r="BC8" i="2"/>
  <c r="BH8" i="2" s="1"/>
  <c r="AX11" i="2"/>
  <c r="AX12" i="2"/>
  <c r="AC6" i="16" l="1"/>
  <c r="AC20" i="16"/>
  <c r="AC15" i="16"/>
  <c r="Q8" i="16"/>
  <c r="AZ8" i="16" s="1"/>
  <c r="BB8" i="16" s="1"/>
  <c r="BC8" i="16" s="1"/>
  <c r="Q18" i="16"/>
  <c r="AZ18" i="16" s="1"/>
  <c r="BB18" i="16" s="1"/>
  <c r="BC18" i="16" s="1"/>
  <c r="AB22" i="16"/>
  <c r="Q13" i="16"/>
  <c r="AZ13" i="16" s="1"/>
  <c r="BB13" i="16" s="1"/>
  <c r="BC13" i="16" s="1"/>
  <c r="AB23" i="16"/>
  <c r="AC8" i="16"/>
  <c r="Q15" i="16"/>
  <c r="AZ15" i="16" s="1"/>
  <c r="BB15" i="16" s="1"/>
  <c r="BC15" i="16" s="1"/>
  <c r="Q21" i="16"/>
  <c r="AZ21" i="16" s="1"/>
  <c r="BB21" i="16" s="1"/>
  <c r="BC21" i="16" s="1"/>
  <c r="Q22" i="16"/>
  <c r="AZ22" i="16" s="1"/>
  <c r="BB22" i="16" s="1"/>
  <c r="BC22" i="16" s="1"/>
  <c r="Q9" i="16"/>
  <c r="AZ9" i="16" s="1"/>
  <c r="BB9" i="16" s="1"/>
  <c r="BC9" i="16" s="1"/>
  <c r="AB21" i="16"/>
  <c r="Q19" i="16"/>
  <c r="AB7" i="16"/>
  <c r="AC9" i="16"/>
  <c r="AC7" i="16"/>
  <c r="AC17" i="16"/>
  <c r="AB9" i="16"/>
  <c r="AB15" i="16"/>
  <c r="Q6" i="16"/>
  <c r="AC22" i="16"/>
  <c r="AC5" i="16"/>
  <c r="Q10" i="16"/>
  <c r="AZ10" i="16" s="1"/>
  <c r="BB10" i="16" s="1"/>
  <c r="BC10" i="16" s="1"/>
  <c r="AB12" i="16"/>
  <c r="AB6" i="16"/>
  <c r="Q11" i="16"/>
  <c r="AZ11" i="16" s="1"/>
  <c r="BB11" i="16" s="1"/>
  <c r="BC11" i="16" s="1"/>
  <c r="Q5" i="16"/>
  <c r="AZ5" i="16" s="1"/>
  <c r="BB5" i="16" s="1"/>
  <c r="BC5" i="16" s="1"/>
  <c r="AC12" i="16"/>
  <c r="AC14" i="16"/>
  <c r="AC16" i="16"/>
  <c r="AB17" i="16"/>
  <c r="AB18" i="16"/>
  <c r="AC24" i="16"/>
  <c r="Q17" i="16"/>
  <c r="AZ17" i="16" s="1"/>
  <c r="BB17" i="16" s="1"/>
  <c r="BC17" i="16" s="1"/>
  <c r="Q16" i="16"/>
  <c r="AZ16" i="16" s="1"/>
  <c r="BB16" i="16" s="1"/>
  <c r="BC16" i="16" s="1"/>
  <c r="AC18" i="16"/>
  <c r="Q20" i="16"/>
  <c r="AZ20" i="16" s="1"/>
  <c r="BB20" i="16" s="1"/>
  <c r="BC20" i="16" s="1"/>
  <c r="Q14" i="16"/>
  <c r="AZ14" i="16" s="1"/>
  <c r="BB14" i="16" s="1"/>
  <c r="BC14" i="16" s="1"/>
  <c r="AB19" i="16"/>
  <c r="AB16" i="16"/>
  <c r="Q24" i="16"/>
  <c r="AZ24" i="16" s="1"/>
  <c r="BB24" i="16" s="1"/>
  <c r="BC24" i="16" s="1"/>
  <c r="Q7" i="16"/>
  <c r="AZ7" i="16" s="1"/>
  <c r="BB7" i="16" s="1"/>
  <c r="BC7" i="16" s="1"/>
  <c r="AC23" i="16"/>
  <c r="AB24" i="16"/>
  <c r="AB14" i="16"/>
  <c r="AB20" i="16"/>
  <c r="AB10" i="16"/>
  <c r="AC13" i="16"/>
  <c r="AB5" i="16"/>
  <c r="AB11" i="16"/>
  <c r="AB13" i="16"/>
  <c r="Q12" i="16"/>
  <c r="AZ12" i="16" s="1"/>
  <c r="BB12" i="16" s="1"/>
  <c r="BC12" i="16" s="1"/>
  <c r="AC10" i="16"/>
  <c r="AC21" i="16"/>
  <c r="AB8" i="16"/>
  <c r="AC11" i="16"/>
  <c r="AC19" i="16"/>
  <c r="Q23" i="16"/>
  <c r="AZ23" i="16" s="1"/>
  <c r="BB23" i="16" s="1"/>
  <c r="BC23" i="16" s="1"/>
  <c r="O19" i="16"/>
  <c r="O6" i="16"/>
  <c r="BC16" i="2"/>
  <c r="BH16" i="2" s="1"/>
  <c r="BM16" i="2" s="1"/>
  <c r="AX17" i="2"/>
  <c r="BC24" i="2"/>
  <c r="BH24" i="2" s="1"/>
  <c r="BP16" i="2"/>
  <c r="AX10" i="2"/>
  <c r="BC10" i="2" s="1"/>
  <c r="BH10" i="2" s="1"/>
  <c r="AX9" i="2"/>
  <c r="BC9" i="2" s="1"/>
  <c r="BH9" i="2" s="1"/>
  <c r="BP13" i="2"/>
  <c r="BH13" i="2"/>
  <c r="BM13" i="2" s="1"/>
  <c r="AH9" i="16" l="1"/>
  <c r="AP9" i="16"/>
  <c r="AX9" i="16"/>
  <c r="AJ9" i="16"/>
  <c r="AR9" i="16"/>
  <c r="AK9" i="16"/>
  <c r="AS9" i="16"/>
  <c r="AL9" i="16"/>
  <c r="AE9" i="16"/>
  <c r="AM9" i="16"/>
  <c r="AU9" i="16"/>
  <c r="AI9" i="16"/>
  <c r="AF9" i="16"/>
  <c r="AN9" i="16"/>
  <c r="AV9" i="16"/>
  <c r="AQ9" i="16"/>
  <c r="AG9" i="16"/>
  <c r="AO9" i="16"/>
  <c r="AW9" i="16"/>
  <c r="AD9" i="16"/>
  <c r="AT9" i="16"/>
  <c r="AG6" i="16"/>
  <c r="AO6" i="16"/>
  <c r="AW6" i="16"/>
  <c r="AX6" i="16"/>
  <c r="AH6" i="16"/>
  <c r="AI6" i="16"/>
  <c r="AQ6" i="16"/>
  <c r="AR6" i="16"/>
  <c r="AK6" i="16"/>
  <c r="AJ6" i="16"/>
  <c r="AD6" i="16"/>
  <c r="AL6" i="16"/>
  <c r="AT6" i="16"/>
  <c r="AE6" i="16"/>
  <c r="AM6" i="16"/>
  <c r="AU6" i="16"/>
  <c r="AF6" i="16"/>
  <c r="AN6" i="16"/>
  <c r="AV6" i="16"/>
  <c r="AP6" i="16"/>
  <c r="AS6" i="16"/>
  <c r="AE8" i="16"/>
  <c r="AM8" i="16"/>
  <c r="AU8" i="16"/>
  <c r="AN8" i="16"/>
  <c r="AG8" i="16"/>
  <c r="AO8" i="16"/>
  <c r="AW8" i="16"/>
  <c r="AH8" i="16"/>
  <c r="AP8" i="16"/>
  <c r="AX8" i="16"/>
  <c r="AQ8" i="16"/>
  <c r="AJ8" i="16"/>
  <c r="AR8" i="16"/>
  <c r="AK8" i="16"/>
  <c r="AS8" i="16"/>
  <c r="AF8" i="16"/>
  <c r="AD8" i="16"/>
  <c r="AL8" i="16"/>
  <c r="AT8" i="16"/>
  <c r="AV8" i="16"/>
  <c r="AI8" i="16"/>
  <c r="AP10" i="16"/>
  <c r="AF10" i="16"/>
  <c r="AG10" i="16"/>
  <c r="AR10" i="16"/>
  <c r="AH10" i="16"/>
  <c r="AV10" i="16"/>
  <c r="AI10" i="16"/>
  <c r="AJ10" i="16"/>
  <c r="AX10" i="16"/>
  <c r="AQ10" i="16"/>
  <c r="AN10" i="16"/>
  <c r="AO10" i="16"/>
  <c r="AW10" i="16"/>
  <c r="AS10" i="16"/>
  <c r="AL10" i="16"/>
  <c r="AD10" i="16"/>
  <c r="AT10" i="16"/>
  <c r="AU10" i="16"/>
  <c r="AM10" i="16"/>
  <c r="AK10" i="16"/>
  <c r="AE10" i="16"/>
  <c r="AL19" i="16"/>
  <c r="AT19" i="16"/>
  <c r="AS19" i="16"/>
  <c r="AU19" i="16"/>
  <c r="AD19" i="16"/>
  <c r="AM19" i="16"/>
  <c r="AE19" i="16"/>
  <c r="AK19" i="16"/>
  <c r="AJ19" i="16"/>
  <c r="AW19" i="16"/>
  <c r="AX19" i="16"/>
  <c r="AP19" i="16"/>
  <c r="AO19" i="16"/>
  <c r="AF19" i="16"/>
  <c r="AG19" i="16"/>
  <c r="AV19" i="16"/>
  <c r="AR19" i="16"/>
  <c r="AN19" i="16"/>
  <c r="AH19" i="16"/>
  <c r="AQ19" i="16"/>
  <c r="AI19" i="16"/>
  <c r="AH17" i="16"/>
  <c r="AP17" i="16"/>
  <c r="AX17" i="16"/>
  <c r="AT17" i="16"/>
  <c r="AJ17" i="16"/>
  <c r="AR17" i="16"/>
  <c r="AK17" i="16"/>
  <c r="AL17" i="16"/>
  <c r="AE17" i="16"/>
  <c r="AM17" i="16"/>
  <c r="AU17" i="16"/>
  <c r="AQ17" i="16"/>
  <c r="AS17" i="16"/>
  <c r="AF17" i="16"/>
  <c r="AN17" i="16"/>
  <c r="AV17" i="16"/>
  <c r="AG17" i="16"/>
  <c r="AO17" i="16"/>
  <c r="AW17" i="16"/>
  <c r="AI17" i="16"/>
  <c r="AD17" i="16"/>
  <c r="AG20" i="16"/>
  <c r="AO20" i="16"/>
  <c r="AW20" i="16"/>
  <c r="AP20" i="16"/>
  <c r="AS20" i="16"/>
  <c r="AI20" i="16"/>
  <c r="AQ20" i="16"/>
  <c r="AR20" i="16"/>
  <c r="AD20" i="16"/>
  <c r="AL20" i="16"/>
  <c r="AT20" i="16"/>
  <c r="AJ20" i="16"/>
  <c r="AE20" i="16"/>
  <c r="AM20" i="16"/>
  <c r="AU20" i="16"/>
  <c r="AH20" i="16"/>
  <c r="AF20" i="16"/>
  <c r="AN20" i="16"/>
  <c r="AV20" i="16"/>
  <c r="AX20" i="16"/>
  <c r="AK20" i="16"/>
  <c r="AJ7" i="16"/>
  <c r="AR7" i="16"/>
  <c r="AV7" i="16"/>
  <c r="AD7" i="16"/>
  <c r="AL7" i="16"/>
  <c r="AT7" i="16"/>
  <c r="AE7" i="16"/>
  <c r="AM7" i="16"/>
  <c r="AU7" i="16"/>
  <c r="AG7" i="16"/>
  <c r="AO7" i="16"/>
  <c r="AW7" i="16"/>
  <c r="AS7" i="16"/>
  <c r="AN7" i="16"/>
  <c r="AH7" i="16"/>
  <c r="AP7" i="16"/>
  <c r="AX7" i="16"/>
  <c r="AK7" i="16"/>
  <c r="AF7" i="16"/>
  <c r="AI7" i="16"/>
  <c r="AQ7" i="16"/>
  <c r="AK23" i="16"/>
  <c r="AS23" i="16"/>
  <c r="AD23" i="16"/>
  <c r="AF23" i="16"/>
  <c r="AW23" i="16"/>
  <c r="AE23" i="16"/>
  <c r="AM23" i="16"/>
  <c r="AU23" i="16"/>
  <c r="AG23" i="16"/>
  <c r="AH23" i="16"/>
  <c r="AP23" i="16"/>
  <c r="AX23" i="16"/>
  <c r="AN23" i="16"/>
  <c r="AI23" i="16"/>
  <c r="AQ23" i="16"/>
  <c r="AT23" i="16"/>
  <c r="AJ23" i="16"/>
  <c r="AR23" i="16"/>
  <c r="AL23" i="16"/>
  <c r="AV23" i="16"/>
  <c r="AO23" i="16"/>
  <c r="AG14" i="16"/>
  <c r="AO14" i="16"/>
  <c r="AW14" i="16"/>
  <c r="AI14" i="16"/>
  <c r="AQ14" i="16"/>
  <c r="AJ14" i="16"/>
  <c r="AS14" i="16"/>
  <c r="AD14" i="16"/>
  <c r="AL14" i="16"/>
  <c r="AT14" i="16"/>
  <c r="AP14" i="16"/>
  <c r="AE14" i="16"/>
  <c r="AM14" i="16"/>
  <c r="AU14" i="16"/>
  <c r="AX14" i="16"/>
  <c r="AR14" i="16"/>
  <c r="AF14" i="16"/>
  <c r="AN14" i="16"/>
  <c r="AV14" i="16"/>
  <c r="AH14" i="16"/>
  <c r="AK14" i="16"/>
  <c r="AK13" i="16"/>
  <c r="AS13" i="16"/>
  <c r="AG13" i="16"/>
  <c r="AQ13" i="16"/>
  <c r="AP13" i="16"/>
  <c r="AD13" i="16"/>
  <c r="AX13" i="16"/>
  <c r="AI13" i="16"/>
  <c r="AR13" i="16"/>
  <c r="AM13" i="16"/>
  <c r="AT13" i="16"/>
  <c r="AH13" i="16"/>
  <c r="AU13" i="16"/>
  <c r="AV13" i="16"/>
  <c r="AE13" i="16"/>
  <c r="AL13" i="16"/>
  <c r="AO13" i="16"/>
  <c r="AF13" i="16"/>
  <c r="AJ13" i="16"/>
  <c r="AW13" i="16"/>
  <c r="AN13" i="16"/>
  <c r="AJ15" i="16"/>
  <c r="AR15" i="16"/>
  <c r="AK15" i="16"/>
  <c r="AE15" i="16"/>
  <c r="AN15" i="16"/>
  <c r="AD15" i="16"/>
  <c r="AL15" i="16"/>
  <c r="AT15" i="16"/>
  <c r="AU15" i="16"/>
  <c r="AG15" i="16"/>
  <c r="AO15" i="16"/>
  <c r="AW15" i="16"/>
  <c r="AS15" i="16"/>
  <c r="AV15" i="16"/>
  <c r="AH15" i="16"/>
  <c r="AP15" i="16"/>
  <c r="AX15" i="16"/>
  <c r="AI15" i="16"/>
  <c r="AQ15" i="16"/>
  <c r="AM15" i="16"/>
  <c r="AF15" i="16"/>
  <c r="AK11" i="16"/>
  <c r="AT11" i="16"/>
  <c r="AM11" i="16"/>
  <c r="AS11" i="16"/>
  <c r="AU11" i="16"/>
  <c r="AD11" i="16"/>
  <c r="AE11" i="16"/>
  <c r="AL11" i="16"/>
  <c r="AX11" i="16"/>
  <c r="AG11" i="16"/>
  <c r="AI11" i="16"/>
  <c r="AQ11" i="16"/>
  <c r="AP11" i="16"/>
  <c r="AH11" i="16"/>
  <c r="AR11" i="16"/>
  <c r="AJ11" i="16"/>
  <c r="AN11" i="16"/>
  <c r="AW11" i="16"/>
  <c r="AV11" i="16"/>
  <c r="AO11" i="16"/>
  <c r="AF11" i="16"/>
  <c r="AF24" i="16"/>
  <c r="AN24" i="16"/>
  <c r="AG24" i="16"/>
  <c r="AH24" i="16"/>
  <c r="AP24" i="16"/>
  <c r="AX24" i="16"/>
  <c r="AI24" i="16"/>
  <c r="AR24" i="16"/>
  <c r="AK24" i="16"/>
  <c r="AS24" i="16"/>
  <c r="AW24" i="16"/>
  <c r="AD24" i="16"/>
  <c r="AL24" i="16"/>
  <c r="AT24" i="16"/>
  <c r="AJ24" i="16"/>
  <c r="AE24" i="16"/>
  <c r="AM24" i="16"/>
  <c r="AU24" i="16"/>
  <c r="AV24" i="16"/>
  <c r="AO24" i="16"/>
  <c r="AQ24" i="16"/>
  <c r="AK21" i="16"/>
  <c r="AS21" i="16"/>
  <c r="AD21" i="16"/>
  <c r="AN21" i="16"/>
  <c r="AT21" i="16"/>
  <c r="AX21" i="16"/>
  <c r="AF21" i="16"/>
  <c r="AL21" i="16"/>
  <c r="AG21" i="16"/>
  <c r="AI21" i="16"/>
  <c r="AV21" i="16"/>
  <c r="AQ21" i="16"/>
  <c r="AO21" i="16"/>
  <c r="AU21" i="16"/>
  <c r="AH21" i="16"/>
  <c r="AE21" i="16"/>
  <c r="AJ21" i="16"/>
  <c r="AR21" i="16"/>
  <c r="AM21" i="16"/>
  <c r="AW21" i="16"/>
  <c r="AP21" i="16"/>
  <c r="AH22" i="16"/>
  <c r="AP22" i="16"/>
  <c r="AX22" i="16"/>
  <c r="AJ22" i="16"/>
  <c r="AR22" i="16"/>
  <c r="AK22" i="16"/>
  <c r="AE22" i="16"/>
  <c r="AM22" i="16"/>
  <c r="AU22" i="16"/>
  <c r="AQ22" i="16"/>
  <c r="AT22" i="16"/>
  <c r="AF22" i="16"/>
  <c r="AN22" i="16"/>
  <c r="AV22" i="16"/>
  <c r="AI22" i="16"/>
  <c r="AS22" i="16"/>
  <c r="AD22" i="16"/>
  <c r="AG22" i="16"/>
  <c r="AO22" i="16"/>
  <c r="AW22" i="16"/>
  <c r="AL22" i="16"/>
  <c r="AE16" i="16"/>
  <c r="AM16" i="16"/>
  <c r="AU16" i="16"/>
  <c r="AV16" i="16"/>
  <c r="AG16" i="16"/>
  <c r="AO16" i="16"/>
  <c r="AW16" i="16"/>
  <c r="AP16" i="16"/>
  <c r="AX16" i="16"/>
  <c r="AQ16" i="16"/>
  <c r="AJ16" i="16"/>
  <c r="AR16" i="16"/>
  <c r="AH16" i="16"/>
  <c r="AK16" i="16"/>
  <c r="AS16" i="16"/>
  <c r="AN16" i="16"/>
  <c r="AI16" i="16"/>
  <c r="AD16" i="16"/>
  <c r="AL16" i="16"/>
  <c r="AT16" i="16"/>
  <c r="AF16" i="16"/>
  <c r="AL18" i="16"/>
  <c r="AT18" i="16"/>
  <c r="AM18" i="16"/>
  <c r="AE18" i="16"/>
  <c r="AN18" i="16"/>
  <c r="AV18" i="16"/>
  <c r="AO18" i="16"/>
  <c r="AH18" i="16"/>
  <c r="AQ18" i="16"/>
  <c r="AX18" i="16"/>
  <c r="AI18" i="16"/>
  <c r="AR18" i="16"/>
  <c r="AD18" i="16"/>
  <c r="AW18" i="16"/>
  <c r="AP18" i="16"/>
  <c r="AJ18" i="16"/>
  <c r="AS18" i="16"/>
  <c r="AU18" i="16"/>
  <c r="AF18" i="16"/>
  <c r="AG18" i="16"/>
  <c r="AK18" i="16"/>
  <c r="AF12" i="16"/>
  <c r="AN12" i="16"/>
  <c r="AV12" i="16"/>
  <c r="AW12" i="16"/>
  <c r="AH12" i="16"/>
  <c r="AP12" i="16"/>
  <c r="AX12" i="16"/>
  <c r="AI12" i="16"/>
  <c r="AQ12" i="16"/>
  <c r="AK12" i="16"/>
  <c r="AS12" i="16"/>
  <c r="AO12" i="16"/>
  <c r="AR12" i="16"/>
  <c r="AD12" i="16"/>
  <c r="AL12" i="16"/>
  <c r="AT12" i="16"/>
  <c r="AG12" i="16"/>
  <c r="AJ12" i="16"/>
  <c r="AE12" i="16"/>
  <c r="AM12" i="16"/>
  <c r="AU12" i="16"/>
  <c r="AF5" i="16"/>
  <c r="AG5" i="16"/>
  <c r="AO5" i="16"/>
  <c r="AW5" i="16"/>
  <c r="AQ5" i="16"/>
  <c r="AN5" i="16"/>
  <c r="AH5" i="16"/>
  <c r="AP5" i="16"/>
  <c r="AX5" i="16"/>
  <c r="AD5" i="16"/>
  <c r="AE5" i="16"/>
  <c r="AI5" i="16"/>
  <c r="AJ5" i="16"/>
  <c r="AR5" i="16"/>
  <c r="AU5" i="16"/>
  <c r="AK5" i="16"/>
  <c r="AS5" i="16"/>
  <c r="AV5" i="16"/>
  <c r="AL5" i="16"/>
  <c r="AT5" i="16"/>
  <c r="AM5" i="16"/>
  <c r="AZ6" i="16"/>
  <c r="BB6" i="16" s="1"/>
  <c r="BC6" i="16" s="1"/>
  <c r="AZ19" i="16"/>
  <c r="BB19" i="16" s="1"/>
  <c r="BC19" i="16" s="1"/>
  <c r="AX18" i="2"/>
  <c r="AX19" i="2"/>
  <c r="BC25" i="2"/>
  <c r="BH25" i="2" s="1"/>
  <c r="BC26" i="2"/>
  <c r="BC17" i="2"/>
  <c r="BH17" i="2" s="1"/>
  <c r="BM17" i="2" s="1"/>
  <c r="BP17" i="2"/>
  <c r="BC12" i="2"/>
  <c r="BH12" i="2" s="1"/>
  <c r="BC11" i="2"/>
  <c r="BH11" i="2" s="1"/>
  <c r="AY5" i="16" l="1"/>
  <c r="AY6" i="16"/>
  <c r="AY19" i="16"/>
  <c r="AY11" i="16"/>
  <c r="AY18" i="16"/>
  <c r="AY24" i="16"/>
  <c r="AY14" i="16"/>
  <c r="AY22" i="16"/>
  <c r="AY16" i="16"/>
  <c r="AY10" i="16"/>
  <c r="AY9" i="16"/>
  <c r="AY7" i="16"/>
  <c r="AY13" i="16"/>
  <c r="AY23" i="16"/>
  <c r="AY20" i="16"/>
  <c r="AY15" i="16"/>
  <c r="AY17" i="16"/>
  <c r="AY12" i="16"/>
  <c r="AY21" i="16"/>
  <c r="AY8" i="16"/>
  <c r="BC18" i="2"/>
  <c r="BH18" i="2" s="1"/>
  <c r="BM18" i="2" s="1"/>
  <c r="BC19" i="2"/>
  <c r="BH19" i="2" s="1"/>
  <c r="BH26" i="2"/>
  <c r="BP18" i="2"/>
  <c r="BP19" i="2" l="1"/>
  <c r="BM19" i="2"/>
  <c r="Y7" i="2" l="1"/>
  <c r="D17" i="2"/>
  <c r="Y8" i="2" l="1"/>
  <c r="BD11" i="16"/>
  <c r="BG11" i="16" s="1"/>
  <c r="BD16" i="16"/>
  <c r="BG16" i="16" s="1"/>
  <c r="BD24" i="16"/>
  <c r="BG24" i="16" s="1"/>
  <c r="BD12" i="16"/>
  <c r="BG12" i="16" s="1"/>
  <c r="BD20" i="16"/>
  <c r="BG20" i="16" s="1"/>
  <c r="BD10" i="16"/>
  <c r="BG10" i="16" s="1"/>
  <c r="BD23" i="16"/>
  <c r="BG23" i="16" s="1"/>
  <c r="BD14" i="16"/>
  <c r="BG14" i="16" s="1"/>
  <c r="BD8" i="16"/>
  <c r="BG8" i="16" s="1"/>
  <c r="BD13" i="16"/>
  <c r="BG13" i="16" s="1"/>
  <c r="BD21" i="16"/>
  <c r="BG21" i="16" s="1"/>
  <c r="BD6" i="16"/>
  <c r="BG6" i="16" s="1"/>
  <c r="BD19" i="16"/>
  <c r="BG19" i="16" s="1"/>
  <c r="BD5" i="16"/>
  <c r="BG5" i="16" s="1"/>
  <c r="BD18" i="16"/>
  <c r="BG18" i="16" s="1"/>
  <c r="BD7" i="16"/>
  <c r="BG7" i="16" s="1"/>
  <c r="BD9" i="16"/>
  <c r="BG9" i="16" s="1"/>
  <c r="BD17" i="16"/>
  <c r="BG17" i="16" s="1"/>
  <c r="BD15" i="16"/>
  <c r="BG15" i="16" s="1"/>
  <c r="BD22" i="16"/>
  <c r="BG22" i="16" s="1"/>
  <c r="D16" i="2"/>
  <c r="T7" i="16" s="1"/>
  <c r="D15" i="2"/>
  <c r="D14" i="2"/>
  <c r="Y9" i="2" l="1"/>
  <c r="BE11" i="16"/>
  <c r="BH11" i="16" s="1"/>
  <c r="BE16" i="16"/>
  <c r="BH16" i="16" s="1"/>
  <c r="BE24" i="16"/>
  <c r="BH24" i="16" s="1"/>
  <c r="BE10" i="16"/>
  <c r="BH10" i="16" s="1"/>
  <c r="BE23" i="16"/>
  <c r="BH23" i="16" s="1"/>
  <c r="BE12" i="16"/>
  <c r="BH12" i="16" s="1"/>
  <c r="BE20" i="16"/>
  <c r="BH20" i="16" s="1"/>
  <c r="BE8" i="16"/>
  <c r="BH8" i="16" s="1"/>
  <c r="BE13" i="16"/>
  <c r="BH13" i="16" s="1"/>
  <c r="BE21" i="16"/>
  <c r="BH21" i="16" s="1"/>
  <c r="BE14" i="16"/>
  <c r="BH14" i="16" s="1"/>
  <c r="BE22" i="16"/>
  <c r="BH22" i="16" s="1"/>
  <c r="BE18" i="16"/>
  <c r="BH18" i="16" s="1"/>
  <c r="BE7" i="16"/>
  <c r="BH7" i="16" s="1"/>
  <c r="BE6" i="16"/>
  <c r="BH6" i="16" s="1"/>
  <c r="BE19" i="16"/>
  <c r="BH19" i="16" s="1"/>
  <c r="BE9" i="16"/>
  <c r="BH9" i="16" s="1"/>
  <c r="BE17" i="16"/>
  <c r="BH17" i="16" s="1"/>
  <c r="BE15" i="16"/>
  <c r="BH15" i="16" s="1"/>
  <c r="BE5" i="16"/>
  <c r="BH5" i="16" s="1"/>
  <c r="T6" i="16"/>
  <c r="T18" i="16"/>
  <c r="T10" i="16"/>
  <c r="T8" i="16"/>
  <c r="T14" i="16"/>
  <c r="T9" i="16"/>
  <c r="T5" i="16"/>
  <c r="T15" i="16"/>
  <c r="T21" i="16"/>
  <c r="T13" i="16"/>
  <c r="T16" i="16"/>
  <c r="T19" i="16"/>
  <c r="T22" i="16"/>
  <c r="T17" i="16"/>
  <c r="T20" i="16"/>
  <c r="T23" i="16"/>
  <c r="T12" i="16"/>
  <c r="T24" i="16"/>
  <c r="T11" i="16"/>
  <c r="X7" i="16"/>
  <c r="Y7" i="16"/>
  <c r="BM8" i="2"/>
  <c r="BP8" i="2"/>
  <c r="BM9" i="2"/>
  <c r="BP9" i="2"/>
  <c r="BM10" i="2"/>
  <c r="BP10" i="2"/>
  <c r="S8" i="16" s="1"/>
  <c r="BM11" i="2"/>
  <c r="BP11" i="2"/>
  <c r="BM12" i="2"/>
  <c r="BP12" i="2"/>
  <c r="S10" i="16" s="1"/>
  <c r="BM22" i="2"/>
  <c r="BP22" i="2"/>
  <c r="BM23" i="2"/>
  <c r="Z7" i="16" s="1"/>
  <c r="BP23" i="2"/>
  <c r="BM24" i="2"/>
  <c r="BP24" i="2"/>
  <c r="S18" i="16" s="1"/>
  <c r="BM25" i="2"/>
  <c r="BP25" i="2"/>
  <c r="BM26" i="2"/>
  <c r="BP26" i="2"/>
  <c r="S19" i="16" l="1"/>
  <c r="V19" i="16" s="1"/>
  <c r="S12" i="16"/>
  <c r="S14" i="16"/>
  <c r="V14" i="16" s="1"/>
  <c r="S21" i="16"/>
  <c r="V21" i="16" s="1"/>
  <c r="S24" i="16"/>
  <c r="V24" i="16" s="1"/>
  <c r="S13" i="16"/>
  <c r="V13" i="16" s="1"/>
  <c r="S20" i="16"/>
  <c r="V20" i="16" s="1"/>
  <c r="S11" i="16"/>
  <c r="V11" i="16" s="1"/>
  <c r="S6" i="16"/>
  <c r="V6" i="16" s="1"/>
  <c r="S23" i="16"/>
  <c r="V23" i="16" s="1"/>
  <c r="S5" i="16"/>
  <c r="V5" i="16" s="1"/>
  <c r="S16" i="16"/>
  <c r="V16" i="16" s="1"/>
  <c r="S7" i="16"/>
  <c r="V7" i="16" s="1"/>
  <c r="W7" i="16" s="1"/>
  <c r="BK7" i="16" s="1"/>
  <c r="S22" i="16"/>
  <c r="V22" i="16" s="1"/>
  <c r="S17" i="16"/>
  <c r="V17" i="16" s="1"/>
  <c r="S15" i="16"/>
  <c r="V15" i="16" s="1"/>
  <c r="S9" i="16"/>
  <c r="V9" i="16" s="1"/>
  <c r="Y10" i="2"/>
  <c r="BF11" i="16"/>
  <c r="BI11" i="16" s="1"/>
  <c r="BF16" i="16"/>
  <c r="BI16" i="16" s="1"/>
  <c r="BF24" i="16"/>
  <c r="BI24" i="16" s="1"/>
  <c r="BF8" i="16"/>
  <c r="BI8" i="16" s="1"/>
  <c r="BF10" i="16"/>
  <c r="BI10" i="16" s="1"/>
  <c r="BF23" i="16"/>
  <c r="BI23" i="16" s="1"/>
  <c r="BF13" i="16"/>
  <c r="BI13" i="16" s="1"/>
  <c r="BF21" i="16"/>
  <c r="BI21" i="16" s="1"/>
  <c r="BF12" i="16"/>
  <c r="BI12" i="16" s="1"/>
  <c r="BF20" i="16"/>
  <c r="BI20" i="16" s="1"/>
  <c r="BF14" i="16"/>
  <c r="BI14" i="16" s="1"/>
  <c r="BF9" i="16"/>
  <c r="BI9" i="16" s="1"/>
  <c r="BF22" i="16"/>
  <c r="BI22" i="16" s="1"/>
  <c r="BF18" i="16"/>
  <c r="BI18" i="16" s="1"/>
  <c r="BF19" i="16"/>
  <c r="BI19" i="16" s="1"/>
  <c r="BF17" i="16"/>
  <c r="BI17" i="16" s="1"/>
  <c r="BF5" i="16"/>
  <c r="BI5" i="16" s="1"/>
  <c r="BF15" i="16"/>
  <c r="BI15" i="16" s="1"/>
  <c r="BF7" i="16"/>
  <c r="BI7" i="16" s="1"/>
  <c r="BL7" i="16" s="1"/>
  <c r="BF6" i="16"/>
  <c r="BI6" i="16" s="1"/>
  <c r="X17" i="16"/>
  <c r="Y17" i="16"/>
  <c r="Z17" i="16"/>
  <c r="Z22" i="16"/>
  <c r="Y22" i="16"/>
  <c r="X22" i="16"/>
  <c r="X9" i="16"/>
  <c r="Z9" i="16"/>
  <c r="Y9" i="16"/>
  <c r="Z14" i="16"/>
  <c r="Y14" i="16"/>
  <c r="X14" i="16"/>
  <c r="X8" i="16"/>
  <c r="Y8" i="16"/>
  <c r="Z8" i="16"/>
  <c r="V8" i="16"/>
  <c r="X16" i="16"/>
  <c r="Y16" i="16"/>
  <c r="Z16" i="16"/>
  <c r="X21" i="16"/>
  <c r="Y21" i="16"/>
  <c r="Z21" i="16"/>
  <c r="Y10" i="16"/>
  <c r="X10" i="16"/>
  <c r="Z10" i="16"/>
  <c r="V10" i="16"/>
  <c r="X19" i="16"/>
  <c r="Y19" i="16"/>
  <c r="Z19" i="16"/>
  <c r="X13" i="16"/>
  <c r="Y13" i="16"/>
  <c r="Z13" i="16"/>
  <c r="X24" i="16"/>
  <c r="Y24" i="16"/>
  <c r="Z24" i="16"/>
  <c r="Y12" i="16"/>
  <c r="Z12" i="16"/>
  <c r="X12" i="16"/>
  <c r="V12" i="16"/>
  <c r="Y23" i="16"/>
  <c r="Z23" i="16"/>
  <c r="X23" i="16"/>
  <c r="Y20" i="16"/>
  <c r="Z20" i="16"/>
  <c r="X20" i="16"/>
  <c r="Z18" i="16"/>
  <c r="Y18" i="16"/>
  <c r="X18" i="16"/>
  <c r="V18" i="16"/>
  <c r="Y11" i="16"/>
  <c r="Z11" i="16"/>
  <c r="X11" i="16"/>
  <c r="Z15" i="16"/>
  <c r="Y15" i="16"/>
  <c r="X15" i="16"/>
  <c r="Z5" i="16"/>
  <c r="Y5" i="16"/>
  <c r="X5" i="16"/>
  <c r="Z6" i="16"/>
  <c r="Y6" i="16"/>
  <c r="X6" i="16"/>
  <c r="BJ7" i="16" l="1"/>
  <c r="BM7" i="16" s="1"/>
  <c r="BL20" i="16"/>
  <c r="BL22" i="16"/>
  <c r="BL21" i="16"/>
  <c r="BL13" i="16"/>
  <c r="BL15" i="16"/>
  <c r="BL18" i="16"/>
  <c r="BL12" i="16"/>
  <c r="BL5" i="16"/>
  <c r="W11" i="16"/>
  <c r="BK11" i="16" s="1"/>
  <c r="BJ11" i="16"/>
  <c r="W23" i="16"/>
  <c r="BK23" i="16" s="1"/>
  <c r="BJ23" i="16"/>
  <c r="W13" i="16"/>
  <c r="BK13" i="16" s="1"/>
  <c r="BJ13" i="16"/>
  <c r="W21" i="16"/>
  <c r="BK21" i="16" s="1"/>
  <c r="BJ21" i="16"/>
  <c r="BL11" i="16"/>
  <c r="BL23" i="16"/>
  <c r="BL9" i="16"/>
  <c r="W6" i="16"/>
  <c r="BK6" i="16" s="1"/>
  <c r="BJ6" i="16"/>
  <c r="W8" i="16"/>
  <c r="BK8" i="16" s="1"/>
  <c r="BJ8" i="16"/>
  <c r="W22" i="16"/>
  <c r="BK22" i="16" s="1"/>
  <c r="BJ22" i="16"/>
  <c r="BL6" i="16"/>
  <c r="W15" i="16"/>
  <c r="BK15" i="16" s="1"/>
  <c r="BJ15" i="16"/>
  <c r="W18" i="16"/>
  <c r="BK18" i="16" s="1"/>
  <c r="BJ18" i="16"/>
  <c r="W12" i="16"/>
  <c r="BK12" i="16" s="1"/>
  <c r="BJ12" i="16"/>
  <c r="W19" i="16"/>
  <c r="BK19" i="16" s="1"/>
  <c r="BJ19" i="16"/>
  <c r="W16" i="16"/>
  <c r="BK16" i="16" s="1"/>
  <c r="BJ16" i="16"/>
  <c r="W5" i="16"/>
  <c r="BK5" i="16" s="1"/>
  <c r="BJ5" i="16"/>
  <c r="BL8" i="16"/>
  <c r="BL19" i="16"/>
  <c r="BL16" i="16"/>
  <c r="W14" i="16"/>
  <c r="BK14" i="16" s="1"/>
  <c r="BJ14" i="16"/>
  <c r="W20" i="16"/>
  <c r="BK20" i="16" s="1"/>
  <c r="BJ20" i="16"/>
  <c r="W24" i="16"/>
  <c r="BK24" i="16" s="1"/>
  <c r="BJ24" i="16"/>
  <c r="W10" i="16"/>
  <c r="BK10" i="16" s="1"/>
  <c r="BJ10" i="16"/>
  <c r="BL14" i="16"/>
  <c r="W17" i="16"/>
  <c r="BK17" i="16" s="1"/>
  <c r="BJ17" i="16"/>
  <c r="BL10" i="16"/>
  <c r="BL24" i="16"/>
  <c r="W9" i="16"/>
  <c r="BK9" i="16" s="1"/>
  <c r="BJ9" i="16"/>
  <c r="BL17" i="16"/>
  <c r="BM23" i="16" l="1"/>
  <c r="BM20" i="16"/>
  <c r="BM22" i="16"/>
  <c r="BM16" i="16"/>
  <c r="BM9" i="16"/>
  <c r="BM21" i="16"/>
  <c r="BM12" i="16"/>
  <c r="BM13" i="16"/>
  <c r="BM24" i="16"/>
  <c r="BM15" i="16"/>
  <c r="C17" i="12"/>
  <c r="BM11" i="16"/>
  <c r="BM17" i="16"/>
  <c r="BM14" i="16"/>
  <c r="BM19" i="16"/>
  <c r="BM8" i="16"/>
  <c r="C16" i="12"/>
  <c r="BM6" i="16"/>
  <c r="BM10" i="16"/>
  <c r="BM18" i="16"/>
  <c r="BM5" i="16"/>
  <c r="C15" i="12"/>
  <c r="C14" i="12" l="1"/>
  <c r="J36" i="12" s="1"/>
  <c r="G18" i="12" l="1"/>
  <c r="J17" i="12"/>
  <c r="J28" i="12"/>
  <c r="J25" i="12"/>
  <c r="J20" i="12"/>
  <c r="J16" i="12"/>
  <c r="J29" i="12"/>
  <c r="J19" i="12"/>
  <c r="J15" i="12"/>
  <c r="G16" i="12"/>
  <c r="J30" i="12"/>
  <c r="J35" i="12"/>
  <c r="J32" i="12"/>
  <c r="J34" i="12"/>
  <c r="J23" i="12"/>
  <c r="G17" i="12"/>
  <c r="J33" i="12"/>
  <c r="J31" i="12"/>
  <c r="G15" i="12"/>
  <c r="J14" i="12"/>
  <c r="J24" i="12"/>
  <c r="J37" i="12"/>
  <c r="J18" i="12"/>
  <c r="J21" i="12"/>
  <c r="J22" i="12"/>
  <c r="G14" i="12"/>
  <c r="J26" i="12"/>
  <c r="J27" i="12"/>
</calcChain>
</file>

<file path=xl/sharedStrings.xml><?xml version="1.0" encoding="utf-8"?>
<sst xmlns="http://schemas.openxmlformats.org/spreadsheetml/2006/main" count="716" uniqueCount="238">
  <si>
    <t>This file is to be read in conjunction with the full paper.</t>
  </si>
  <si>
    <t>User Guide</t>
  </si>
  <si>
    <t>Key:</t>
  </si>
  <si>
    <t>Light blue fields are input fields and can be adjusted</t>
  </si>
  <si>
    <t>Introduction</t>
  </si>
  <si>
    <t>This model is set up to be reflect the methodology and parameters described in the paper.</t>
  </si>
  <si>
    <t xml:space="preserve">It is intended to support users in their own application and understanding, but any and all users should ensure they have the appropriate understanding and expertise. </t>
  </si>
  <si>
    <t>No Author makes any warranty of any kind with respect to the subject matter of this model, its completeness or accuracy, nor shall they be held liable for any damages resulting from reliance on or use of this model. All users should conduct their own checks and review process</t>
  </si>
  <si>
    <t>The calculations and parameters are fully customisable to the users own views, data and parameters. And can be adjsuted to suit different scenario narratives.</t>
  </si>
  <si>
    <t>All currencies are in USD. Data should be converted to USD first before importing into the model.</t>
  </si>
  <si>
    <t>Data Import - "Calculation" tab</t>
  </si>
  <si>
    <t>1. Policy information should be populated in the "Calculation" tab, in the blue cells, columns B to K</t>
  </si>
  <si>
    <t>a. Region is based on the location of the insured. This has been mapped to continental level</t>
  </si>
  <si>
    <t>b. Industry should based on one of the provided 24 industries, although a broader list could be used but these will need to be mapped to the modelled industries in the mapping tab.</t>
  </si>
  <si>
    <t>c. Policy terms for Limit, Attachment, Deductible should be provided in columns F to H. The limit should be at the 100% share for the policy. The user's share of the policy should be recorded in column K</t>
  </si>
  <si>
    <t>d. Where available, a CBI sublimit can be recorded in column J. This should be at 100% share for the sublimit. If full cover is provided then this should be set equal to the policy limit</t>
  </si>
  <si>
    <t>Calculations - "Calculation" tab</t>
  </si>
  <si>
    <t>2. The calculations at polcy level in the "Calculation" tab need to be copied down for all policies, copying columns L to BM</t>
  </si>
  <si>
    <t>Running the model and Results - "Results" tab</t>
  </si>
  <si>
    <t>3. With the imported data and updated calculations, the model can be "run" for the various events in the "Results" tab.</t>
  </si>
  <si>
    <t>b. Select the event in cell C4</t>
  </si>
  <si>
    <t>c. Select the starting region of the event in cell C5</t>
  </si>
  <si>
    <t>d. Ensure the workbook fully recalculates and the results should appear</t>
  </si>
  <si>
    <t>Updating Parameters</t>
  </si>
  <si>
    <t>The model is designed to be a framework that is fully customisable by users and the parameters can be updated based on users views of risk.</t>
  </si>
  <si>
    <t>These can be updated in the "Parameters" tab.</t>
  </si>
  <si>
    <t>Documention of each of the parameters can be found in the full paper, in Appendix 3: Parameter Details</t>
  </si>
  <si>
    <t>The Risk category table provides a mapping of industry and revenue band to the seven risk categories with companies in RC1 having the strongest controls and RC7 the weakest controls. User can updated the mapped risk categories by industry and revenue band to match their own assessments of relative risk and controls.</t>
  </si>
  <si>
    <t>The final table in columns BW to BZ indicates which industries are exposed to each particular event. In the base case, Event 1 and 2 impact all industries, but Event 3 is targetted on to specific industries. Based on the user's own scenarios and views, these can be adjusted to focus on the most relevant industries as desired.</t>
  </si>
  <si>
    <t>Model Results</t>
  </si>
  <si>
    <t>Note: Results align to the portfolio entered in the Calculation Tab and differ from the reported values in the paper</t>
  </si>
  <si>
    <t>Event input</t>
  </si>
  <si>
    <t>Event</t>
  </si>
  <si>
    <r>
      <t>Name</t>
    </r>
    <r>
      <rPr>
        <sz val="10"/>
        <color rgb="FFFFFFFF"/>
        <rFont val="Arial"/>
        <family val="2"/>
      </rPr>
      <t> </t>
    </r>
  </si>
  <si>
    <r>
      <t>Description</t>
    </r>
    <r>
      <rPr>
        <sz val="10"/>
        <color rgb="FFFFFFFF"/>
        <rFont val="Arial"/>
        <family val="2"/>
      </rPr>
      <t> </t>
    </r>
  </si>
  <si>
    <t>Event 1</t>
  </si>
  <si>
    <t>&lt;--- Select input</t>
  </si>
  <si>
    <t>1 </t>
  </si>
  <si>
    <t>Autolycus </t>
  </si>
  <si>
    <t>Widespread Software Supply Chain Attack (WSSC) </t>
  </si>
  <si>
    <t>Start region</t>
  </si>
  <si>
    <t>North America</t>
  </si>
  <si>
    <t>2 </t>
  </si>
  <si>
    <t>Lernaen Hydra </t>
  </si>
  <si>
    <t>Self-propagating Malware (SPM) </t>
  </si>
  <si>
    <t>Initial Access Vector</t>
  </si>
  <si>
    <t>3 </t>
  </si>
  <si>
    <t>Demeter’s Curse </t>
  </si>
  <si>
    <t>Targeted Industry Loss Event (TILE) </t>
  </si>
  <si>
    <t>Privilege Escalation Vector</t>
  </si>
  <si>
    <t>Lateral Movement Vector</t>
  </si>
  <si>
    <t>Impact</t>
  </si>
  <si>
    <t>Results</t>
  </si>
  <si>
    <t>$</t>
  </si>
  <si>
    <t>Overall losses by Revenue Band (percentage)</t>
  </si>
  <si>
    <t>Overall losses by industry (percentage)</t>
  </si>
  <si>
    <t>Overall losses</t>
  </si>
  <si>
    <t>0-20m</t>
  </si>
  <si>
    <t>Direct losses</t>
  </si>
  <si>
    <t>20m-100m</t>
  </si>
  <si>
    <t>Partial losses</t>
  </si>
  <si>
    <t>100m-1000m</t>
  </si>
  <si>
    <t>CBI losses</t>
  </si>
  <si>
    <t>1000m-10b</t>
  </si>
  <si>
    <t>10b and above</t>
  </si>
  <si>
    <t>Sample policies</t>
  </si>
  <si>
    <t>Initial Access</t>
  </si>
  <si>
    <t>Privilege Escalation</t>
  </si>
  <si>
    <t>Lateral Movement</t>
  </si>
  <si>
    <t>Helper</t>
  </si>
  <si>
    <t>Footprint</t>
  </si>
  <si>
    <t>CBI loss</t>
  </si>
  <si>
    <t>Partial loss costs</t>
  </si>
  <si>
    <t>Final loss calculation</t>
  </si>
  <si>
    <t>Risk ID</t>
  </si>
  <si>
    <t>Name of risk</t>
  </si>
  <si>
    <t>Region</t>
  </si>
  <si>
    <t>Industry</t>
  </si>
  <si>
    <t>100% Limit USD</t>
  </si>
  <si>
    <t>Attachment USD</t>
  </si>
  <si>
    <t>Deductible USD</t>
  </si>
  <si>
    <t>Revenue USD</t>
  </si>
  <si>
    <t>100% CBI Limit USD</t>
  </si>
  <si>
    <t>Share</t>
  </si>
  <si>
    <t>Mapped size</t>
  </si>
  <si>
    <t>Mapped Industry</t>
  </si>
  <si>
    <t>Mapped Risk Category</t>
  </si>
  <si>
    <t>Size BI factor</t>
  </si>
  <si>
    <t>Gross margin rate</t>
  </si>
  <si>
    <t>Average BI days</t>
  </si>
  <si>
    <t>Event&amp;risk ID</t>
  </si>
  <si>
    <t>Base infection rate for risk</t>
  </si>
  <si>
    <t>Regional footprint adjustment</t>
  </si>
  <si>
    <t>Industry footprint adjustment</t>
  </si>
  <si>
    <t>Adjusted infection rate direct losses</t>
  </si>
  <si>
    <t>Footprint CBI</t>
  </si>
  <si>
    <t>Footprint only IA</t>
  </si>
  <si>
    <t>Footprint only PE</t>
  </si>
  <si>
    <t>Footprint only LM</t>
  </si>
  <si>
    <t>Additional costs</t>
  </si>
  <si>
    <t>BI Length (LogN mu)</t>
  </si>
  <si>
    <t>BI Length (LogN sigma)</t>
  </si>
  <si>
    <t>Average direct loss</t>
  </si>
  <si>
    <t>Average BI loss</t>
  </si>
  <si>
    <t>CBI severity factor</t>
  </si>
  <si>
    <t>Average CBI loss</t>
  </si>
  <si>
    <t>Average CBI loss after insurance</t>
  </si>
  <si>
    <t>After successful IA</t>
  </si>
  <si>
    <t>After successful PE</t>
  </si>
  <si>
    <t>After successful LM</t>
  </si>
  <si>
    <t>Insured after successful IA</t>
  </si>
  <si>
    <t>Insured after successful PE</t>
  </si>
  <si>
    <t>Insured after successful LM</t>
  </si>
  <si>
    <t>Final average direct losses</t>
  </si>
  <si>
    <t>Final average CBI losses</t>
  </si>
  <si>
    <t>Final average partial losses</t>
  </si>
  <si>
    <t>Overall final average loss</t>
  </si>
  <si>
    <t>Synthetic_1</t>
  </si>
  <si>
    <t>1.3 IT - Services</t>
  </si>
  <si>
    <t>Synthetic_2</t>
  </si>
  <si>
    <t>2 Retail</t>
  </si>
  <si>
    <t>Synthetic_3</t>
  </si>
  <si>
    <t>3.1 Finance - Banking</t>
  </si>
  <si>
    <t>Synthetic_4</t>
  </si>
  <si>
    <t>3.2 Finance - Insurance</t>
  </si>
  <si>
    <t>Synthetic_5</t>
  </si>
  <si>
    <t>3.3 Finance - Investment management</t>
  </si>
  <si>
    <t>Synthetic_6</t>
  </si>
  <si>
    <t>4 Healthcare</t>
  </si>
  <si>
    <t>Synthetic_7</t>
  </si>
  <si>
    <t>5 Business &amp; Professional Services</t>
  </si>
  <si>
    <t>Synthetic_8</t>
  </si>
  <si>
    <t>6 Energy</t>
  </si>
  <si>
    <t>Synthetic_9</t>
  </si>
  <si>
    <t>7 Telecommunications</t>
  </si>
  <si>
    <t>Synthetic_10</t>
  </si>
  <si>
    <t>8 Utilities</t>
  </si>
  <si>
    <t>Synthetic_11</t>
  </si>
  <si>
    <t>Europe</t>
  </si>
  <si>
    <t>9 Tourism &amp; Hospitality</t>
  </si>
  <si>
    <t>Synthetic_12</t>
  </si>
  <si>
    <t>10 Manufacturing</t>
  </si>
  <si>
    <t>Synthetic_13</t>
  </si>
  <si>
    <t>20 Other</t>
  </si>
  <si>
    <t>Synthetic_14</t>
  </si>
  <si>
    <t>12 Defense / Military Contractor</t>
  </si>
  <si>
    <t>Synthetic_15</t>
  </si>
  <si>
    <t>13 Entertainment &amp; Media</t>
  </si>
  <si>
    <t>Synthetic_16</t>
  </si>
  <si>
    <t>Asia</t>
  </si>
  <si>
    <t>14 Transportation/Aviation/Aerospace</t>
  </si>
  <si>
    <t>Synthetic_17</t>
  </si>
  <si>
    <t>15 Public Authority; NGOs; Non-Profit</t>
  </si>
  <si>
    <t>Synthetic_18</t>
  </si>
  <si>
    <t>16 Real Estate, Property &amp; Construction</t>
  </si>
  <si>
    <t>Synthetic_19</t>
  </si>
  <si>
    <t>Other</t>
  </si>
  <si>
    <t>17 Education</t>
  </si>
  <si>
    <t>Synthetic_20</t>
  </si>
  <si>
    <t>18 Mining &amp; Primary Industries</t>
  </si>
  <si>
    <t>Start Region</t>
  </si>
  <si>
    <t>Events</t>
  </si>
  <si>
    <t>Size categories</t>
  </si>
  <si>
    <t>Input Industry</t>
  </si>
  <si>
    <t>Corresponding Model Industry Category</t>
  </si>
  <si>
    <t>Initial access (IA)</t>
  </si>
  <si>
    <t>Lateral Movement (LM)</t>
  </si>
  <si>
    <t>1.1 IT - Software</t>
  </si>
  <si>
    <t>Drive by compromise</t>
  </si>
  <si>
    <t>Zero day</t>
  </si>
  <si>
    <t>Exploitation of Remote Services (incl n days)</t>
  </si>
  <si>
    <t>Event 2</t>
  </si>
  <si>
    <t>1.2 IT - Hardware</t>
  </si>
  <si>
    <t>Exploit of Public-facing App / External Remote Services</t>
  </si>
  <si>
    <t>N day</t>
  </si>
  <si>
    <t>Remote service</t>
  </si>
  <si>
    <t>Event 3</t>
  </si>
  <si>
    <t>Phishing</t>
  </si>
  <si>
    <t>Established with Initial Access</t>
  </si>
  <si>
    <t>Software deployment tools</t>
  </si>
  <si>
    <t>Software Supply Chain</t>
  </si>
  <si>
    <t>Taint shared content</t>
  </si>
  <si>
    <t>Hardware Supply Chain</t>
  </si>
  <si>
    <t>Alternate authentication material</t>
  </si>
  <si>
    <t>Trusted relationship</t>
  </si>
  <si>
    <t>Initial Access already widespread</t>
  </si>
  <si>
    <t>Valid Accounts</t>
  </si>
  <si>
    <t>11 Pharmaceuticals</t>
  </si>
  <si>
    <t>19 Food &amp; Agriculture</t>
  </si>
  <si>
    <t>Parameters continue --&gt;</t>
  </si>
  <si>
    <t>Core model loss parameters</t>
  </si>
  <si>
    <t>Industry/Size Risk Categorisations</t>
  </si>
  <si>
    <t>Region spread parameters</t>
  </si>
  <si>
    <t>Revenue band</t>
  </si>
  <si>
    <t>Risk Category Descriptions</t>
  </si>
  <si>
    <t>Profit Margin</t>
  </si>
  <si>
    <t>Avg BI time (days)</t>
  </si>
  <si>
    <t>Final Infection Rate</t>
  </si>
  <si>
    <t>Log Normal parameters for avg BI time</t>
  </si>
  <si>
    <t>Spreading to</t>
  </si>
  <si>
    <t>Risk category</t>
  </si>
  <si>
    <t>Split of additional costs by step</t>
  </si>
  <si>
    <t>%</t>
  </si>
  <si>
    <t>cumulative %</t>
  </si>
  <si>
    <t>CBI Parameter</t>
  </si>
  <si>
    <t>Additional Costs (IR, data restoration etc.) excluding Business Interruption</t>
  </si>
  <si>
    <t>Gross Margin Rates</t>
  </si>
  <si>
    <t>Rate</t>
  </si>
  <si>
    <t>Lookup Column</t>
  </si>
  <si>
    <t>Population Exposed</t>
  </si>
  <si>
    <t>Success Factor</t>
  </si>
  <si>
    <t>Proportion of risks in category impacted after this step</t>
  </si>
  <si>
    <t>mu</t>
  </si>
  <si>
    <t>sigma</t>
  </si>
  <si>
    <t>percentage of daily revenue lost of total daily revenue</t>
  </si>
  <si>
    <t>percentage of BI</t>
  </si>
  <si>
    <t>Industry specific events</t>
  </si>
  <si>
    <t>Region downscale factor</t>
  </si>
  <si>
    <t>RC5</t>
  </si>
  <si>
    <t>RC4</t>
  </si>
  <si>
    <t>RC3</t>
  </si>
  <si>
    <t>RC2</t>
  </si>
  <si>
    <t>RC1</t>
  </si>
  <si>
    <t>strongest controls</t>
  </si>
  <si>
    <t>Data destruction/wipe</t>
  </si>
  <si>
    <t>Beginning</t>
  </si>
  <si>
    <t>Severity</t>
  </si>
  <si>
    <t>RC6</t>
  </si>
  <si>
    <t>Lookup for model</t>
  </si>
  <si>
    <t>RC7</t>
  </si>
  <si>
    <t>weakest controls</t>
  </si>
  <si>
    <t>Data encrypted</t>
  </si>
  <si>
    <t>Lookup table for use in model based on selected event</t>
  </si>
  <si>
    <t xml:space="preserve">"© Copyright 2024, Beazley Furlonge Limited (“Beazley”), Münchener Rückversicherungs-Gesellschaft Aktiengesellschaft in München (“Munich Re”) and Arthur J. Gallagher &amp; Co. and subsidiaries (“Gallagher”), collectively “The Parties”.
All rights reserved. 
Beazley Furlonge Limited (Company Registration Number: 01893407 and VAT Number: 649 2754 03) is a managing agent for Syndicates at Lloyd’s and is authorised by the Prudential Regulation Authority and regulated by the Financial Conduct Authority and the Prudential Regulation Authority (Firm Reference Number: 204896). Beazley Furlonge Limited is registered in England and Wales with its Registered Office at 22 Bishopsgate, London EC2N 4BQ.
Münchener Rückversicherungs-Gesellschaft Aktiengesellschaft in München (“Munich Re”) (Commercial Register Munich Number: HRB 42039) is supervised by the German Bundesanstalt für Finanzdienstleistungsaufsicht (BaFin). Munich Re is a reinsurance company organized under the laws of Germany with its Registered Office at Koeniginstrasse 107, 80802 Munich. In some countries, including in the United States, Munich Reinsurance Company holds the status of an unauthorized reinsurer.
Gallagher Re is a trading name of Arthur J. Gallagher (UK) Limited, which is authorised and regulated by the Financial Conduct Authority. Registered Office: The Walbrook Building, 25 Walbrook, London EC4N 8AW. Registered in England and Wales. Company Number: 1193013.
Some information contained in this excel file may be compiled from third-party sources and The Parties do not guarantee and are not responsible for the accuracy of such. This service and its contents are for general information only and are not intended to be relied upon. Any action based on or in connection with anything contained herein should be taken only after obtaining specific advice from independent professional advisors of your choice. The views expressed in this document are not necessarily those of The Parties. The Parties are not responsible for the accuracy or completeness of the service and contents herein and expressly disclaim any responsibility or liability, based on any legal theory, for damages in any form or amount, based upon, arising from or in connection with for the user's application of any of the contents herein to any analysis or other matter, or for any results or conclusions based upon, arising from or in connection with the service and the contents herein, nor do the service or contents herein guarantee, and should not be construed to guarantee, any particular result or outcome. The Parties accept no responsibility for the content or quality of any third-party websites that are referenced.		</t>
  </si>
  <si>
    <t>The Parties did not establish any legal partnership, joint venture or similar for the purposes of producing this service. No Party is constituted the agent of another or otherwise authorized to act on another Party’s behalf. Without limiting the foregoing, no Party shall have any responsibility for any act or omission of any other Party.</t>
  </si>
  <si>
    <t xml:space="preserve">All references to the “The Partnership” are to be understood as references to a collaborative partnership in the colloquial sense. Beazley, Munich Re and Gallagher Re did not establish any legal partnership, joint venture or similar for the purposes of producing this paper and none of the participants are constituted the agent of another or otherwise authorised to act on another participant’s behalf.
© 2024, Beazley Furlonge Limited (“Beazley”), Münchener Rückversicherungs-Gesellschaft Aktiengesellschaft in München (“Munich Re”) and Arthur J. Gallagher (UK) Limited (“Gallagher”).
All rights reserved.
This service and its contents are protected under copyright law and other protective legislation.
Neither Beazley, Munich Re nor Gallagher (each a “Party”) makes any warranty of any kind with respect to the subject matter of this service, its completeness or accuracy, nor shall they be held liable for any damages resulting from reliance on or use of this paper.
The contents herein are provided for informational purposes only and do not constitute and should not be construed as professional advice. Any and all examples used herein are for illustrative purposes only, are purely hypothetical in nature, and offered merely to describe concepts or ideas. They are not offered as solutions for actual issues or to produce specific results and are not to be relied upon. The user is cautioned to consult independent professional advisors of their choice and formulate independent conclusions and opinions regarding the subject matter discussed herein. Beazley Furlonge Limited Beazley, Munich Re and Gallagher are not responsible for the accuracy or completeness of the contents herein (including any content compiled from third party sources, which may be contained herein) and expressly disclaim any responsibility or liability based on any legal theory or in any form or amount, based upon, arising from or in connection with for the user's application of any of the contents herein to any analysis or other matter, nor do the contents herein guarantee, and should not be construed to guarantee any particular result or outcome.
The Parties did not establish any legal partnership, joint venture or similar for the purposes of producing this service and content. No Party is constituted the agent of another or otherwise authorised to act on another Party’s behalf. Without limiting the foregoing, no Party shall have any responsibility for any act or omission of any other Party.
Beazley Furlonge Limited (Company Registration Number: 01893407 and VAT Number: 649 2754 03) is a managing agent for Syndicates at Lloyd’s and is authorised by the Prudential Regulation Authority and regulated by the Financial Conduct Authority and the Prudential Regulation Authority (Firm Reference Number: 204896). Beazley Furlonge Limited is registered in England and Wales with its Registered Office at 22 Bishopsgate, London EC2N 4BQ. 
Email: info@beazley.com 	Tel: +44 (0)20 7667 0623 	Fax: +44 (0)20 7082 5198
Münchener Rückversicherungs-Gesellschaft Aktiengesellschaft in München (“Munich Re”) (Commercial Register Munich Number: HRB 42039) is supervised by the German Bundesanstalt für Finanzdienstleistungsaufsicht (BaFin). Munich Re is a reinsurance company organized under the laws of Germany with its Registered Office at Koeniginstrasse 107, 80802 Munich. In some countries, including in the United States, Munich Reinsurance Company holds the status of an unauthorized reinsurer.
Gallagher Re is a trading name of Arthur J. Gallagher (UK) Limited, which is authorised and regulated by the Financial Conduct Authority. Registered Office: The Walbrook Building, 25 Walbrook, London EC4N 8AW. Registered in England and Wales. Company Number: 1193013. www.ajg.com/uk."		</t>
  </si>
  <si>
    <r>
      <t xml:space="preserve">a. </t>
    </r>
    <r>
      <rPr>
        <b/>
        <sz val="10"/>
        <color theme="1"/>
        <rFont val="Arial"/>
        <family val="2"/>
      </rPr>
      <t>Total sums need to be updated to capture the full number of rows</t>
    </r>
    <r>
      <rPr>
        <sz val="10"/>
        <color theme="1"/>
        <rFont val="Arial"/>
        <family val="2"/>
      </rPr>
      <t xml:space="preserve"> with the policy bordereaux. Each of the "Results", "Overall losses by size class" and "Overall losses by industry" tables should be updated to capture the full range of the data.</t>
    </r>
  </si>
  <si>
    <t>Ensure the sum captures all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</si>
</sst>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_-* #,##0.0000_-;\-* #,##0.0000_-;_-* &quot;-&quot;??_-;_-@_-"/>
    <numFmt numFmtId="166" formatCode="_-* #,##0.00000_-;\-* #,##0.00000_-;_-* &quot;-&quot;??_-;_-@_-"/>
    <numFmt numFmtId="167" formatCode="0.0%"/>
    <numFmt numFmtId="168" formatCode="0.0000"/>
    <numFmt numFmtId="169" formatCode="_-* #,##0.00\ _€_-;\-* #,##0.00\ _€_-;_-* &quot;-&quot;??\ _€_-;_-@_-"/>
    <numFmt numFmtId="170" formatCode="_-* #,##0.0000000_-;\-* #,##0.0000000_-;_-* &quot;-&quot;??_-;_-@_-"/>
    <numFmt numFmtId="171" formatCode="0.000"/>
    <numFmt numFmtId="172" formatCode="General\ &quot;percentile&quot;"/>
  </numFmts>
  <fonts count="22" x14ac:knownFonts="1">
    <font>
      <sz val="10"/>
      <color theme="1"/>
      <name val="Arial"/>
      <family val="2"/>
    </font>
    <font>
      <sz val="11"/>
      <color theme="1"/>
      <name val="Calibri"/>
      <family val="2"/>
      <scheme val="minor"/>
    </font>
    <font>
      <sz val="10"/>
      <color theme="1"/>
      <name val="Arial"/>
      <family val="2"/>
    </font>
    <font>
      <b/>
      <sz val="10"/>
      <color theme="1"/>
      <name val="Arial"/>
      <family val="2"/>
    </font>
    <font>
      <i/>
      <sz val="11"/>
      <color theme="1"/>
      <name val="Calibri"/>
      <family val="2"/>
      <scheme val="minor"/>
    </font>
    <font>
      <sz val="11"/>
      <color theme="1"/>
      <name val="Calibri"/>
      <family val="2"/>
      <scheme val="minor"/>
    </font>
    <font>
      <i/>
      <sz val="11"/>
      <color rgb="FF000000"/>
      <name val="Calibri"/>
      <family val="2"/>
    </font>
    <font>
      <sz val="8"/>
      <name val="Arial"/>
      <family val="2"/>
    </font>
    <font>
      <sz val="11"/>
      <color rgb="FF000000"/>
      <name val="Calibri"/>
      <family val="2"/>
    </font>
    <font>
      <b/>
      <sz val="12"/>
      <color theme="1"/>
      <name val="Arial"/>
      <family val="2"/>
    </font>
    <font>
      <b/>
      <sz val="10"/>
      <color theme="0"/>
      <name val="Arial"/>
      <family val="2"/>
    </font>
    <font>
      <b/>
      <sz val="10"/>
      <color rgb="FFFFFFFF"/>
      <name val="Arial"/>
      <family val="2"/>
    </font>
    <font>
      <sz val="10"/>
      <color rgb="FFFFFFFF"/>
      <name val="Arial"/>
      <family val="2"/>
    </font>
    <font>
      <sz val="10"/>
      <name val="Arial"/>
      <family val="2"/>
    </font>
    <font>
      <sz val="10"/>
      <color theme="0" tint="-0.499984740745262"/>
      <name val="Arial"/>
      <family val="2"/>
    </font>
    <font>
      <b/>
      <sz val="18"/>
      <color theme="1"/>
      <name val="Arial"/>
      <family val="2"/>
    </font>
    <font>
      <b/>
      <sz val="11"/>
      <color theme="0"/>
      <name val="Calibri"/>
      <family val="2"/>
      <scheme val="minor"/>
    </font>
    <font>
      <b/>
      <i/>
      <sz val="10"/>
      <color theme="0"/>
      <name val="Arial"/>
      <family val="2"/>
    </font>
    <font>
      <b/>
      <i/>
      <sz val="11"/>
      <color theme="0"/>
      <name val="Calibri"/>
      <family val="2"/>
      <scheme val="minor"/>
    </font>
    <font>
      <i/>
      <sz val="10"/>
      <color theme="1"/>
      <name val="Arial"/>
      <family val="2"/>
    </font>
    <font>
      <i/>
      <sz val="11"/>
      <color theme="0"/>
      <name val="Calibri"/>
      <family val="2"/>
    </font>
    <font>
      <i/>
      <sz val="10"/>
      <color theme="0" tint="-0.499984740745262"/>
      <name val="Arial"/>
      <family val="2"/>
    </font>
  </fonts>
  <fills count="20">
    <fill>
      <patternFill patternType="none"/>
    </fill>
    <fill>
      <patternFill patternType="gray125"/>
    </fill>
    <fill>
      <patternFill patternType="solid">
        <fgColor theme="4" tint="0.79998168889431442"/>
        <bgColor indexed="64"/>
      </patternFill>
    </fill>
    <fill>
      <patternFill patternType="solid">
        <fgColor rgb="FFFFFF00"/>
        <bgColor rgb="FF000000"/>
      </patternFill>
    </fill>
    <fill>
      <patternFill patternType="solid">
        <fgColor rgb="FF00B050"/>
        <bgColor rgb="FF000000"/>
      </patternFill>
    </fill>
    <fill>
      <patternFill patternType="solid">
        <fgColor rgb="FF92D050"/>
        <bgColor rgb="FF000000"/>
      </patternFill>
    </fill>
    <fill>
      <patternFill patternType="solid">
        <fgColor rgb="FFC6E0B4"/>
        <bgColor rgb="FF000000"/>
      </patternFill>
    </fill>
    <fill>
      <patternFill patternType="solid">
        <fgColor rgb="FFFFC000"/>
        <bgColor rgb="FF000000"/>
      </patternFill>
    </fill>
    <fill>
      <patternFill patternType="solid">
        <fgColor rgb="FFFF0000"/>
        <bgColor rgb="FF000000"/>
      </patternFill>
    </fill>
    <fill>
      <patternFill patternType="solid">
        <fgColor rgb="FFC00000"/>
        <bgColor rgb="FF000000"/>
      </patternFill>
    </fill>
    <fill>
      <patternFill patternType="solid">
        <fgColor theme="4" tint="0.79998168889431442"/>
        <bgColor rgb="FF000000"/>
      </patternFill>
    </fill>
    <fill>
      <patternFill patternType="solid">
        <fgColor theme="8" tint="0.7999816888943144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1"/>
        <bgColor indexed="64"/>
      </patternFill>
    </fill>
    <fill>
      <patternFill patternType="solid">
        <fgColor theme="4" tint="0.59999389629810485"/>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43" fontId="2" fillId="0" borderId="0" applyFont="0" applyFill="0" applyBorder="0" applyAlignment="0" applyProtection="0"/>
    <xf numFmtId="0" fontId="5" fillId="0" borderId="0"/>
    <xf numFmtId="9" fontId="2" fillId="0" borderId="0" applyFont="0" applyFill="0" applyBorder="0" applyAlignment="0" applyProtection="0"/>
  </cellStyleXfs>
  <cellXfs count="159">
    <xf numFmtId="0" fontId="0" fillId="0" borderId="0" xfId="0"/>
    <xf numFmtId="0" fontId="4" fillId="0" borderId="0" xfId="0" applyFont="1"/>
    <xf numFmtId="0" fontId="0" fillId="0" borderId="8" xfId="0" applyBorder="1"/>
    <xf numFmtId="0" fontId="0" fillId="0" borderId="10" xfId="0" applyBorder="1"/>
    <xf numFmtId="0" fontId="0" fillId="0" borderId="9" xfId="0" applyBorder="1"/>
    <xf numFmtId="0" fontId="0" fillId="0" borderId="7" xfId="0" applyBorder="1"/>
    <xf numFmtId="43" fontId="0" fillId="0" borderId="0" xfId="1" applyFont="1"/>
    <xf numFmtId="164" fontId="0" fillId="0" borderId="0" xfId="1" applyNumberFormat="1" applyFont="1"/>
    <xf numFmtId="0" fontId="6" fillId="4" borderId="0" xfId="0" applyFont="1" applyFill="1"/>
    <xf numFmtId="0" fontId="6" fillId="5" borderId="0" xfId="0" applyFont="1" applyFill="1"/>
    <xf numFmtId="0" fontId="6" fillId="6" borderId="0" xfId="0" applyFont="1" applyFill="1"/>
    <xf numFmtId="0" fontId="6" fillId="3" borderId="0" xfId="0" applyFont="1" applyFill="1"/>
    <xf numFmtId="0" fontId="6" fillId="7" borderId="0" xfId="0" applyFont="1" applyFill="1"/>
    <xf numFmtId="0" fontId="6" fillId="8" borderId="0" xfId="0" applyFont="1" applyFill="1"/>
    <xf numFmtId="0" fontId="6" fillId="9" borderId="0" xfId="0" applyFont="1" applyFill="1"/>
    <xf numFmtId="9" fontId="0" fillId="0" borderId="0" xfId="0" applyNumberFormat="1"/>
    <xf numFmtId="0" fontId="4" fillId="0" borderId="8" xfId="0" applyFont="1" applyBorder="1"/>
    <xf numFmtId="9" fontId="0" fillId="0" borderId="7" xfId="3" applyFont="1" applyBorder="1"/>
    <xf numFmtId="9" fontId="0" fillId="0" borderId="0" xfId="3" applyFont="1"/>
    <xf numFmtId="168" fontId="0" fillId="0" borderId="0" xfId="0" applyNumberFormat="1"/>
    <xf numFmtId="164" fontId="0" fillId="0" borderId="0" xfId="0" applyNumberFormat="1"/>
    <xf numFmtId="0" fontId="0" fillId="2" borderId="0" xfId="0" applyFill="1"/>
    <xf numFmtId="9" fontId="0" fillId="2" borderId="0" xfId="0" applyNumberFormat="1" applyFill="1"/>
    <xf numFmtId="164" fontId="0" fillId="2" borderId="0" xfId="1" applyNumberFormat="1" applyFont="1" applyFill="1"/>
    <xf numFmtId="0" fontId="8" fillId="10" borderId="19" xfId="0" applyFont="1" applyFill="1" applyBorder="1"/>
    <xf numFmtId="0" fontId="8" fillId="10" borderId="11" xfId="0" applyFont="1" applyFill="1" applyBorder="1"/>
    <xf numFmtId="0" fontId="8" fillId="10" borderId="12" xfId="0" applyFont="1" applyFill="1" applyBorder="1"/>
    <xf numFmtId="0" fontId="5" fillId="2" borderId="11" xfId="2" applyFill="1" applyBorder="1"/>
    <xf numFmtId="0" fontId="5" fillId="2" borderId="12" xfId="2" applyFill="1" applyBorder="1"/>
    <xf numFmtId="9" fontId="8" fillId="10" borderId="15" xfId="0" applyNumberFormat="1" applyFont="1" applyFill="1" applyBorder="1"/>
    <xf numFmtId="9" fontId="8" fillId="10" borderId="16" xfId="0" applyNumberFormat="1" applyFont="1" applyFill="1" applyBorder="1"/>
    <xf numFmtId="9" fontId="8" fillId="10" borderId="14" xfId="0" applyNumberFormat="1" applyFont="1" applyFill="1" applyBorder="1"/>
    <xf numFmtId="9" fontId="5" fillId="2" borderId="16" xfId="2" applyNumberFormat="1" applyFill="1" applyBorder="1"/>
    <xf numFmtId="9" fontId="5" fillId="2" borderId="14" xfId="2" applyNumberFormat="1" applyFill="1" applyBorder="1"/>
    <xf numFmtId="9" fontId="5" fillId="2" borderId="15" xfId="2" applyNumberFormat="1" applyFill="1" applyBorder="1"/>
    <xf numFmtId="0" fontId="5" fillId="0" borderId="17" xfId="2" applyBorder="1"/>
    <xf numFmtId="0" fontId="5" fillId="0" borderId="16" xfId="2" applyBorder="1"/>
    <xf numFmtId="0" fontId="5" fillId="0" borderId="14" xfId="2" applyBorder="1"/>
    <xf numFmtId="9" fontId="5" fillId="0" borderId="15" xfId="2" applyNumberFormat="1" applyBorder="1"/>
    <xf numFmtId="0" fontId="4" fillId="0" borderId="15" xfId="0" applyFont="1" applyBorder="1"/>
    <xf numFmtId="9" fontId="5" fillId="0" borderId="16" xfId="2" applyNumberFormat="1" applyBorder="1"/>
    <xf numFmtId="0" fontId="5" fillId="0" borderId="11" xfId="2" applyBorder="1"/>
    <xf numFmtId="0" fontId="4" fillId="0" borderId="16" xfId="0" applyFont="1" applyBorder="1"/>
    <xf numFmtId="9" fontId="5" fillId="0" borderId="14" xfId="2" applyNumberFormat="1" applyBorder="1"/>
    <xf numFmtId="0" fontId="5" fillId="0" borderId="12" xfId="2" applyBorder="1"/>
    <xf numFmtId="0" fontId="4" fillId="0" borderId="14" xfId="0" applyFont="1" applyBorder="1"/>
    <xf numFmtId="0" fontId="5" fillId="0" borderId="15" xfId="2" applyBorder="1"/>
    <xf numFmtId="0" fontId="0" fillId="0" borderId="0" xfId="0" applyAlignment="1">
      <alignment horizontal="center" vertical="center" wrapText="1"/>
    </xf>
    <xf numFmtId="0" fontId="0" fillId="11" borderId="0" xfId="0" applyFill="1"/>
    <xf numFmtId="164" fontId="0" fillId="11" borderId="0" xfId="1" applyNumberFormat="1" applyFont="1" applyFill="1"/>
    <xf numFmtId="167" fontId="0" fillId="11" borderId="0" xfId="3" applyNumberFormat="1" applyFont="1" applyFill="1"/>
    <xf numFmtId="164" fontId="0" fillId="0" borderId="11" xfId="1" applyNumberFormat="1" applyFont="1" applyBorder="1"/>
    <xf numFmtId="0" fontId="0" fillId="0" borderId="11" xfId="0" applyBorder="1"/>
    <xf numFmtId="164" fontId="0" fillId="0" borderId="11" xfId="0" applyNumberFormat="1" applyBorder="1"/>
    <xf numFmtId="0" fontId="0" fillId="0" borderId="11" xfId="0" applyBorder="1" applyAlignment="1">
      <alignment horizontal="center" vertical="center" wrapText="1"/>
    </xf>
    <xf numFmtId="170" fontId="0" fillId="0" borderId="0" xfId="0" applyNumberFormat="1"/>
    <xf numFmtId="167" fontId="5" fillId="0" borderId="15" xfId="2" applyNumberFormat="1" applyBorder="1"/>
    <xf numFmtId="167" fontId="5" fillId="0" borderId="16" xfId="2" applyNumberFormat="1" applyBorder="1"/>
    <xf numFmtId="167" fontId="5" fillId="0" borderId="14" xfId="2" applyNumberFormat="1" applyBorder="1"/>
    <xf numFmtId="0" fontId="9" fillId="0" borderId="0" xfId="0" applyFont="1"/>
    <xf numFmtId="169" fontId="0" fillId="0" borderId="0" xfId="0" applyNumberFormat="1"/>
    <xf numFmtId="0" fontId="3" fillId="0" borderId="7" xfId="0" applyFont="1" applyBorder="1"/>
    <xf numFmtId="164" fontId="0" fillId="0" borderId="7" xfId="1" applyNumberFormat="1" applyFont="1" applyBorder="1"/>
    <xf numFmtId="43" fontId="0" fillId="0" borderId="0" xfId="1" applyFont="1" applyBorder="1"/>
    <xf numFmtId="0" fontId="0" fillId="0" borderId="0" xfId="0" applyAlignment="1">
      <alignment horizontal="right"/>
    </xf>
    <xf numFmtId="171" fontId="0" fillId="2" borderId="0" xfId="0" applyNumberFormat="1" applyFill="1"/>
    <xf numFmtId="0" fontId="10" fillId="12" borderId="10" xfId="0" applyFont="1" applyFill="1" applyBorder="1" applyAlignment="1">
      <alignment horizontal="center" vertical="center" wrapText="1"/>
    </xf>
    <xf numFmtId="0" fontId="10" fillId="12" borderId="8" xfId="0" applyFont="1" applyFill="1" applyBorder="1" applyAlignment="1">
      <alignment horizontal="center" vertical="center"/>
    </xf>
    <xf numFmtId="0" fontId="10" fillId="12" borderId="0" xfId="0" applyFont="1" applyFill="1"/>
    <xf numFmtId="0" fontId="13" fillId="0" borderId="0" xfId="0" applyFont="1" applyAlignment="1">
      <alignment horizontal="left" vertical="center" wrapText="1"/>
    </xf>
    <xf numFmtId="0" fontId="0" fillId="0" borderId="7" xfId="0" applyBorder="1" applyAlignment="1">
      <alignment vertical="center"/>
    </xf>
    <xf numFmtId="0" fontId="0" fillId="2" borderId="7" xfId="0" applyFill="1" applyBorder="1" applyAlignment="1">
      <alignment vertical="center"/>
    </xf>
    <xf numFmtId="0" fontId="11" fillId="12" borderId="0" xfId="0" applyFont="1" applyFill="1" applyAlignment="1">
      <alignment horizontal="left" vertical="center" wrapText="1"/>
    </xf>
    <xf numFmtId="171" fontId="0" fillId="0" borderId="0" xfId="0" applyNumberFormat="1"/>
    <xf numFmtId="164" fontId="10" fillId="12" borderId="18" xfId="1" applyNumberFormat="1" applyFont="1" applyFill="1" applyBorder="1" applyAlignment="1">
      <alignment horizontal="center" vertical="center" wrapText="1"/>
    </xf>
    <xf numFmtId="164" fontId="10" fillId="12" borderId="8" xfId="1" applyNumberFormat="1" applyFont="1" applyFill="1" applyBorder="1" applyAlignment="1">
      <alignment horizontal="center" vertical="center" wrapText="1"/>
    </xf>
    <xf numFmtId="166" fontId="10" fillId="12" borderId="8" xfId="1" applyNumberFormat="1" applyFont="1" applyFill="1" applyBorder="1" applyAlignment="1">
      <alignment horizontal="center" vertical="center" wrapText="1"/>
    </xf>
    <xf numFmtId="165" fontId="10" fillId="12" borderId="18" xfId="1" applyNumberFormat="1" applyFont="1" applyFill="1" applyBorder="1" applyAlignment="1">
      <alignment horizontal="center" vertical="center" wrapText="1"/>
    </xf>
    <xf numFmtId="165" fontId="10" fillId="12" borderId="8" xfId="1" applyNumberFormat="1"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12" borderId="18" xfId="0" applyFont="1" applyFill="1" applyBorder="1" applyAlignment="1">
      <alignment horizontal="center" vertical="center" wrapText="1"/>
    </xf>
    <xf numFmtId="168" fontId="0" fillId="0" borderId="11" xfId="0" applyNumberFormat="1" applyBorder="1"/>
    <xf numFmtId="172" fontId="10" fillId="12" borderId="8" xfId="0" applyNumberFormat="1" applyFont="1" applyFill="1" applyBorder="1" applyAlignment="1">
      <alignment horizontal="center" vertical="center" wrapText="1"/>
    </xf>
    <xf numFmtId="0" fontId="10" fillId="19" borderId="10" xfId="0" applyFont="1" applyFill="1" applyBorder="1" applyAlignment="1">
      <alignment horizontal="center" vertical="center" wrapText="1"/>
    </xf>
    <xf numFmtId="0" fontId="14" fillId="0" borderId="0" xfId="0" applyFont="1" applyAlignment="1">
      <alignment horizontal="left" vertical="center"/>
    </xf>
    <xf numFmtId="0" fontId="3" fillId="0" borderId="0" xfId="0" applyFont="1"/>
    <xf numFmtId="0" fontId="15" fillId="0" borderId="0" xfId="0" applyFont="1"/>
    <xf numFmtId="0" fontId="0" fillId="0" borderId="0" xfId="0" applyAlignment="1">
      <alignment horizontal="left" indent="2"/>
    </xf>
    <xf numFmtId="0" fontId="0" fillId="0" borderId="0" xfId="0" applyAlignment="1">
      <alignment horizontal="left"/>
    </xf>
    <xf numFmtId="0" fontId="3" fillId="0" borderId="0" xfId="0" applyFont="1" applyAlignment="1">
      <alignment horizontal="left"/>
    </xf>
    <xf numFmtId="164" fontId="0" fillId="0" borderId="0" xfId="1" applyNumberFormat="1" applyFont="1" applyBorder="1"/>
    <xf numFmtId="0" fontId="0" fillId="0" borderId="24" xfId="0" applyBorder="1"/>
    <xf numFmtId="0" fontId="10" fillId="12" borderId="12" xfId="0" applyFont="1" applyFill="1" applyBorder="1"/>
    <xf numFmtId="0" fontId="10" fillId="12" borderId="8" xfId="0" applyFont="1" applyFill="1" applyBorder="1"/>
    <xf numFmtId="0" fontId="10" fillId="12" borderId="10" xfId="0" applyFont="1" applyFill="1" applyBorder="1"/>
    <xf numFmtId="0" fontId="17" fillId="12" borderId="8" xfId="0" applyFont="1" applyFill="1" applyBorder="1" applyAlignment="1">
      <alignment wrapText="1"/>
    </xf>
    <xf numFmtId="0" fontId="10" fillId="12" borderId="8" xfId="0" applyFont="1" applyFill="1" applyBorder="1" applyAlignment="1">
      <alignment wrapText="1"/>
    </xf>
    <xf numFmtId="0" fontId="16" fillId="12" borderId="1" xfId="2" applyFont="1" applyFill="1" applyBorder="1" applyAlignment="1">
      <alignment wrapText="1"/>
    </xf>
    <xf numFmtId="0" fontId="16" fillId="12" borderId="2" xfId="2" applyFont="1" applyFill="1" applyBorder="1" applyAlignment="1">
      <alignment wrapText="1"/>
    </xf>
    <xf numFmtId="0" fontId="16" fillId="12" borderId="20" xfId="2" applyFont="1" applyFill="1" applyBorder="1" applyAlignment="1">
      <alignment wrapText="1"/>
    </xf>
    <xf numFmtId="0" fontId="16" fillId="12" borderId="13" xfId="2" applyFont="1" applyFill="1" applyBorder="1" applyAlignment="1">
      <alignment horizontal="center" wrapText="1"/>
    </xf>
    <xf numFmtId="0" fontId="16" fillId="12" borderId="13" xfId="2" applyFont="1" applyFill="1" applyBorder="1" applyAlignment="1">
      <alignment horizontal="center" vertical="center" wrapText="1"/>
    </xf>
    <xf numFmtId="0" fontId="10" fillId="12" borderId="8" xfId="0" applyFont="1" applyFill="1" applyBorder="1" applyAlignment="1">
      <alignment vertical="center" wrapText="1"/>
    </xf>
    <xf numFmtId="0" fontId="18" fillId="12" borderId="0" xfId="0" applyFont="1" applyFill="1"/>
    <xf numFmtId="0" fontId="19" fillId="0" borderId="0" xfId="0" applyFont="1"/>
    <xf numFmtId="0" fontId="1" fillId="0" borderId="13" xfId="2" applyFont="1" applyBorder="1" applyAlignment="1">
      <alignment horizontal="center" vertical="center" wrapText="1"/>
    </xf>
    <xf numFmtId="0" fontId="0" fillId="0" borderId="7" xfId="0" applyBorder="1" applyAlignment="1">
      <alignment wrapText="1"/>
    </xf>
    <xf numFmtId="10" fontId="1" fillId="0" borderId="19" xfId="3" applyNumberFormat="1" applyFont="1" applyFill="1" applyBorder="1"/>
    <xf numFmtId="43" fontId="1" fillId="0" borderId="19" xfId="1" applyFont="1" applyFill="1" applyBorder="1"/>
    <xf numFmtId="43" fontId="1" fillId="0" borderId="15" xfId="1" applyFont="1" applyFill="1" applyBorder="1"/>
    <xf numFmtId="10" fontId="1" fillId="0" borderId="11" xfId="3" applyNumberFormat="1" applyFont="1" applyFill="1" applyBorder="1"/>
    <xf numFmtId="43" fontId="1" fillId="0" borderId="11" xfId="1" applyFont="1" applyFill="1" applyBorder="1"/>
    <xf numFmtId="43" fontId="1" fillId="0" borderId="16" xfId="1" applyFont="1" applyFill="1" applyBorder="1"/>
    <xf numFmtId="10" fontId="1" fillId="0" borderId="12" xfId="3" applyNumberFormat="1" applyFont="1" applyFill="1" applyBorder="1"/>
    <xf numFmtId="43" fontId="1" fillId="0" borderId="12" xfId="1" applyFont="1" applyFill="1" applyBorder="1"/>
    <xf numFmtId="43" fontId="1" fillId="0" borderId="14" xfId="1" applyFont="1" applyFill="1" applyBorder="1"/>
    <xf numFmtId="0" fontId="1" fillId="2" borderId="11" xfId="2" applyFont="1" applyFill="1" applyBorder="1"/>
    <xf numFmtId="0" fontId="1" fillId="2" borderId="12" xfId="2" applyFont="1" applyFill="1" applyBorder="1"/>
    <xf numFmtId="0" fontId="20" fillId="9" borderId="0" xfId="0" applyFont="1" applyFill="1"/>
    <xf numFmtId="0" fontId="0" fillId="0" borderId="0" xfId="0" applyAlignment="1">
      <alignment horizontal="left" vertical="top" wrapText="1"/>
    </xf>
    <xf numFmtId="0" fontId="0" fillId="0" borderId="0" xfId="0" applyAlignment="1">
      <alignment horizontal="left" wrapText="1" indent="2"/>
    </xf>
    <xf numFmtId="0" fontId="0" fillId="0" borderId="0" xfId="0" applyAlignment="1">
      <alignment horizontal="left" vertical="top" wrapText="1" indent="2"/>
    </xf>
    <xf numFmtId="0" fontId="10" fillId="18" borderId="1" xfId="0" applyFont="1" applyFill="1" applyBorder="1" applyAlignment="1">
      <alignment horizontal="center"/>
    </xf>
    <xf numFmtId="0" fontId="10" fillId="18" borderId="2" xfId="0" applyFont="1" applyFill="1" applyBorder="1" applyAlignment="1">
      <alignment horizontal="center"/>
    </xf>
    <xf numFmtId="0" fontId="10" fillId="18" borderId="3" xfId="0" applyFont="1" applyFill="1" applyBorder="1" applyAlignment="1">
      <alignment horizontal="center"/>
    </xf>
    <xf numFmtId="0" fontId="10" fillId="17" borderId="1" xfId="0" applyFont="1" applyFill="1" applyBorder="1" applyAlignment="1">
      <alignment horizontal="center"/>
    </xf>
    <xf numFmtId="0" fontId="10" fillId="17" borderId="2" xfId="0" applyFont="1" applyFill="1" applyBorder="1" applyAlignment="1">
      <alignment horizontal="center"/>
    </xf>
    <xf numFmtId="0" fontId="10" fillId="17" borderId="3" xfId="0" applyFont="1" applyFill="1" applyBorder="1" applyAlignment="1">
      <alignment horizontal="center"/>
    </xf>
    <xf numFmtId="0" fontId="10" fillId="13" borderId="1" xfId="0" applyFont="1" applyFill="1" applyBorder="1" applyAlignment="1">
      <alignment horizontal="center"/>
    </xf>
    <xf numFmtId="0" fontId="10" fillId="13" borderId="2" xfId="0" applyFont="1" applyFill="1" applyBorder="1" applyAlignment="1">
      <alignment horizontal="center"/>
    </xf>
    <xf numFmtId="0" fontId="10" fillId="13" borderId="3" xfId="0" applyFont="1" applyFill="1" applyBorder="1" applyAlignment="1">
      <alignment horizontal="center"/>
    </xf>
    <xf numFmtId="0" fontId="10" fillId="15" borderId="1" xfId="0" applyFont="1" applyFill="1" applyBorder="1" applyAlignment="1">
      <alignment horizontal="center" wrapText="1"/>
    </xf>
    <xf numFmtId="0" fontId="10" fillId="15" borderId="2" xfId="0" applyFont="1" applyFill="1" applyBorder="1" applyAlignment="1">
      <alignment horizontal="center" wrapText="1"/>
    </xf>
    <xf numFmtId="0" fontId="10" fillId="15" borderId="3" xfId="0" applyFont="1" applyFill="1" applyBorder="1" applyAlignment="1">
      <alignment horizontal="center" wrapText="1"/>
    </xf>
    <xf numFmtId="0" fontId="10" fillId="14" borderId="1" xfId="0" applyFont="1" applyFill="1" applyBorder="1" applyAlignment="1">
      <alignment horizontal="center" wrapText="1"/>
    </xf>
    <xf numFmtId="0" fontId="10" fillId="14" borderId="2" xfId="0" applyFont="1" applyFill="1" applyBorder="1" applyAlignment="1">
      <alignment horizontal="center" wrapText="1"/>
    </xf>
    <xf numFmtId="0" fontId="10" fillId="14" borderId="3" xfId="0" applyFont="1" applyFill="1" applyBorder="1" applyAlignment="1">
      <alignment horizontal="center" wrapText="1"/>
    </xf>
    <xf numFmtId="0" fontId="10" fillId="16" borderId="1" xfId="0" applyFont="1" applyFill="1" applyBorder="1" applyAlignment="1">
      <alignment horizontal="center"/>
    </xf>
    <xf numFmtId="0" fontId="10" fillId="16" borderId="2" xfId="0" applyFont="1" applyFill="1" applyBorder="1" applyAlignment="1">
      <alignment horizontal="center"/>
    </xf>
    <xf numFmtId="0" fontId="10" fillId="16" borderId="3" xfId="0" applyFont="1" applyFill="1" applyBorder="1" applyAlignment="1">
      <alignment horizontal="center"/>
    </xf>
    <xf numFmtId="0" fontId="1" fillId="0" borderId="1" xfId="2" applyFont="1" applyBorder="1" applyAlignment="1">
      <alignment horizontal="center" vertical="center" wrapText="1"/>
    </xf>
    <xf numFmtId="0" fontId="5" fillId="0" borderId="3" xfId="2" applyBorder="1" applyAlignment="1">
      <alignment horizontal="center" vertical="center" wrapText="1"/>
    </xf>
    <xf numFmtId="0" fontId="5" fillId="0" borderId="1" xfId="2" applyBorder="1" applyAlignment="1">
      <alignment horizontal="center" vertical="center" wrapText="1"/>
    </xf>
    <xf numFmtId="0" fontId="5" fillId="0" borderId="2" xfId="2" applyBorder="1" applyAlignment="1">
      <alignment horizontal="center" vertical="center" wrapText="1"/>
    </xf>
    <xf numFmtId="0" fontId="10" fillId="12" borderId="1" xfId="0" applyFont="1" applyFill="1" applyBorder="1" applyAlignment="1">
      <alignment horizontal="center" wrapText="1"/>
    </xf>
    <xf numFmtId="0" fontId="10" fillId="12" borderId="2" xfId="0" applyFont="1" applyFill="1" applyBorder="1" applyAlignment="1">
      <alignment horizontal="center" wrapText="1"/>
    </xf>
    <xf numFmtId="0" fontId="10" fillId="12" borderId="3" xfId="0" applyFont="1" applyFill="1" applyBorder="1" applyAlignment="1">
      <alignment horizontal="center" wrapText="1"/>
    </xf>
    <xf numFmtId="0" fontId="0" fillId="0" borderId="4" xfId="0" applyBorder="1" applyAlignment="1">
      <alignment horizontal="center" vertical="center" textRotation="90" wrapText="1"/>
    </xf>
    <xf numFmtId="0" fontId="0" fillId="0" borderId="5" xfId="0" applyBorder="1" applyAlignment="1">
      <alignment horizontal="center" vertical="center" textRotation="90" wrapText="1"/>
    </xf>
    <xf numFmtId="0" fontId="0" fillId="0" borderId="6" xfId="0" applyBorder="1" applyAlignment="1">
      <alignment horizontal="center" vertical="center" textRotation="90" wrapText="1"/>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left" vertical="center" wrapText="1"/>
    </xf>
    <xf numFmtId="0" fontId="3" fillId="0" borderId="0" xfId="0" applyFont="1" applyAlignment="1">
      <alignment horizontal="left" vertical="center" wrapText="1"/>
    </xf>
    <xf numFmtId="0" fontId="21" fillId="0" borderId="0" xfId="0" applyFont="1"/>
  </cellXfs>
  <cellStyles count="4">
    <cellStyle name="Comma" xfId="1" builtinId="3"/>
    <cellStyle name="Normal" xfId="0" builtinId="0"/>
    <cellStyle name="Normal 2" xfId="2" xr:uid="{76B417DF-C460-4C9E-AF4F-5B36716B3992}"/>
    <cellStyle name="Percent" xfId="3" builtinId="5"/>
  </cellStyles>
  <dxfs count="55">
    <dxf>
      <font>
        <color auto="1"/>
      </font>
      <fill>
        <patternFill>
          <bgColor rgb="FF00B050"/>
        </patternFill>
      </fill>
    </dxf>
    <dxf>
      <fill>
        <patternFill>
          <bgColor rgb="FF92D050"/>
        </patternFill>
      </fill>
    </dxf>
    <dxf>
      <fill>
        <patternFill>
          <bgColor theme="9" tint="0.79998168889431442"/>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ont>
        <color auto="1"/>
      </font>
      <fill>
        <patternFill>
          <bgColor rgb="FF00B050"/>
        </patternFill>
      </fill>
    </dxf>
    <dxf>
      <fill>
        <patternFill>
          <bgColor rgb="FF92D050"/>
        </patternFill>
      </fill>
    </dxf>
    <dxf>
      <fill>
        <patternFill>
          <bgColor theme="9" tint="0.79998168889431442"/>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ont>
        <color auto="1"/>
      </font>
      <fill>
        <patternFill>
          <bgColor rgb="FF00B050"/>
        </patternFill>
      </fill>
    </dxf>
    <dxf>
      <fill>
        <patternFill>
          <bgColor rgb="FF92D050"/>
        </patternFill>
      </fill>
    </dxf>
    <dxf>
      <fill>
        <patternFill>
          <bgColor theme="9" tint="0.79998168889431442"/>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ont>
        <color auto="1"/>
      </font>
      <fill>
        <patternFill>
          <bgColor rgb="FF00B050"/>
        </patternFill>
      </fill>
    </dxf>
    <dxf>
      <fill>
        <patternFill>
          <bgColor rgb="FF92D050"/>
        </patternFill>
      </fill>
    </dxf>
    <dxf>
      <fill>
        <patternFill>
          <bgColor theme="9" tint="0.79998168889431442"/>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ont>
        <color auto="1"/>
      </font>
      <fill>
        <patternFill>
          <bgColor rgb="FF00B050"/>
        </patternFill>
      </fill>
    </dxf>
    <dxf>
      <fill>
        <patternFill>
          <bgColor rgb="FF92D050"/>
        </patternFill>
      </fill>
    </dxf>
    <dxf>
      <fill>
        <patternFill>
          <bgColor theme="9" tint="0.79998168889431442"/>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theme="9" tint="0.79998168889431442"/>
        </patternFill>
      </fill>
    </dxf>
    <dxf>
      <fill>
        <patternFill>
          <bgColor theme="9" tint="0.39994506668294322"/>
        </patternFill>
      </fill>
    </dxf>
    <dxf>
      <fill>
        <patternFill>
          <bgColor rgb="FF00B050"/>
        </patternFill>
      </fill>
    </dxf>
    <dxf>
      <font>
        <color auto="1"/>
      </font>
      <fill>
        <patternFill>
          <bgColor rgb="FF00B050"/>
        </patternFill>
      </fill>
    </dxf>
    <dxf>
      <fill>
        <patternFill>
          <bgColor rgb="FF92D050"/>
        </patternFill>
      </fill>
    </dxf>
    <dxf>
      <fill>
        <patternFill>
          <bgColor theme="9" tint="0.79998168889431442"/>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s>
  <tableStyles count="0" defaultTableStyle="TableStyleMedium2" defaultPivotStyle="PivotStyleLight16"/>
  <colors>
    <mruColors>
      <color rgb="FFFFC000"/>
      <color rgb="FF8A3B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Results!$F$13</c:f>
          <c:strCache>
            <c:ptCount val="1"/>
            <c:pt idx="0">
              <c:v>Overall losses by Revenue Band (percentage)</c:v>
            </c:pt>
          </c:strCache>
        </c:strRef>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67E-4D28-A420-2ACDAC1D87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67E-4D28-A420-2ACDAC1D87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67E-4D28-A420-2ACDAC1D87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67E-4D28-A420-2ACDAC1D8708}"/>
              </c:ext>
            </c:extLst>
          </c:dPt>
          <c:dPt>
            <c:idx val="4"/>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9-D67E-4D28-A420-2ACDAC1D8708}"/>
              </c:ext>
            </c:extLst>
          </c:dPt>
          <c:cat>
            <c:strRef>
              <c:f>Results!$F$14:$F$18</c:f>
              <c:strCache>
                <c:ptCount val="5"/>
                <c:pt idx="0">
                  <c:v>0-20m</c:v>
                </c:pt>
                <c:pt idx="1">
                  <c:v>20m-100m</c:v>
                </c:pt>
                <c:pt idx="2">
                  <c:v>100m-1000m</c:v>
                </c:pt>
                <c:pt idx="3">
                  <c:v>1000m-10b</c:v>
                </c:pt>
                <c:pt idx="4">
                  <c:v>10b and above</c:v>
                </c:pt>
              </c:strCache>
            </c:strRef>
          </c:cat>
          <c:val>
            <c:numRef>
              <c:f>Results!$G$14:$G$18</c:f>
              <c:numCache>
                <c:formatCode>0%</c:formatCode>
                <c:ptCount val="5"/>
                <c:pt idx="0">
                  <c:v>6.7568445901535878E-4</c:v>
                </c:pt>
                <c:pt idx="1">
                  <c:v>8.6970822161506964E-3</c:v>
                </c:pt>
                <c:pt idx="2">
                  <c:v>7.5534058501554244E-3</c:v>
                </c:pt>
                <c:pt idx="3">
                  <c:v>0</c:v>
                </c:pt>
                <c:pt idx="4">
                  <c:v>0.98307382747467853</c:v>
                </c:pt>
              </c:numCache>
            </c:numRef>
          </c:val>
          <c:extLst>
            <c:ext xmlns:c16="http://schemas.microsoft.com/office/drawing/2014/chart" uri="{C3380CC4-5D6E-409C-BE32-E72D297353CC}">
              <c16:uniqueId val="{00000000-5725-4422-B4F2-D956C7FC7B8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Results!$B$14</c:f>
          <c:strCache>
            <c:ptCount val="1"/>
            <c:pt idx="0">
              <c:v>Overall losses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33C-4D2D-9B3E-7AF92C5C2497}"/>
              </c:ext>
            </c:extLst>
          </c:dPt>
          <c:dPt>
            <c:idx val="1"/>
            <c:bubble3D val="0"/>
            <c:spPr>
              <a:solidFill>
                <a:srgbClr val="8A3B2E"/>
              </a:solidFill>
              <a:ln w="19050">
                <a:solidFill>
                  <a:schemeClr val="lt1"/>
                </a:solidFill>
              </a:ln>
              <a:effectLst/>
            </c:spPr>
            <c:extLst>
              <c:ext xmlns:c16="http://schemas.microsoft.com/office/drawing/2014/chart" uri="{C3380CC4-5D6E-409C-BE32-E72D297353CC}">
                <c16:uniqueId val="{00000002-833C-4D2D-9B3E-7AF92C5C2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EB-4331-A4DE-13B36C9B4784}"/>
              </c:ext>
            </c:extLst>
          </c:dPt>
          <c:cat>
            <c:strRef>
              <c:f>Results!$B$15:$B$17</c:f>
              <c:strCache>
                <c:ptCount val="3"/>
                <c:pt idx="0">
                  <c:v>Direct losses</c:v>
                </c:pt>
                <c:pt idx="1">
                  <c:v>Partial losses</c:v>
                </c:pt>
                <c:pt idx="2">
                  <c:v>CBI losses</c:v>
                </c:pt>
              </c:strCache>
            </c:strRef>
          </c:cat>
          <c:val>
            <c:numRef>
              <c:f>Results!$C$15:$C$17</c:f>
              <c:numCache>
                <c:formatCode>_-* #,##0_-;\-* #,##0_-;_-* "-"??_-;_-@_-</c:formatCode>
                <c:ptCount val="3"/>
                <c:pt idx="0">
                  <c:v>9347574.5384190064</c:v>
                </c:pt>
                <c:pt idx="1">
                  <c:v>542132.06354999996</c:v>
                </c:pt>
                <c:pt idx="2">
                  <c:v>1837729.3643833681</c:v>
                </c:pt>
              </c:numCache>
            </c:numRef>
          </c:val>
          <c:extLst>
            <c:ext xmlns:c16="http://schemas.microsoft.com/office/drawing/2014/chart" uri="{C3380CC4-5D6E-409C-BE32-E72D297353CC}">
              <c16:uniqueId val="{00000000-833C-4D2D-9B3E-7AF92C5C249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604879</xdr:colOff>
      <xdr:row>33</xdr:row>
      <xdr:rowOff>2900</xdr:rowOff>
    </xdr:to>
    <xdr:pic>
      <xdr:nvPicPr>
        <xdr:cNvPr id="7" name="Picture 6">
          <a:extLst>
            <a:ext uri="{FF2B5EF4-FFF2-40B4-BE49-F238E27FC236}">
              <a16:creationId xmlns:a16="http://schemas.microsoft.com/office/drawing/2014/main" id="{09BCF8F5-020A-DE0B-71C8-101456010506}"/>
            </a:ext>
          </a:extLst>
        </xdr:cNvPr>
        <xdr:cNvPicPr>
          <a:picLocks noChangeAspect="1"/>
        </xdr:cNvPicPr>
      </xdr:nvPicPr>
      <xdr:blipFill>
        <a:blip xmlns:r="http://schemas.openxmlformats.org/officeDocument/2006/relationships" r:embed="rId1"/>
        <a:stretch>
          <a:fillRect/>
        </a:stretch>
      </xdr:blipFill>
      <xdr:spPr>
        <a:xfrm>
          <a:off x="0" y="0"/>
          <a:ext cx="7918174" cy="50917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xdr:colOff>
      <xdr:row>19</xdr:row>
      <xdr:rowOff>74293</xdr:rowOff>
    </xdr:from>
    <xdr:to>
      <xdr:col>7</xdr:col>
      <xdr:colOff>19050</xdr:colOff>
      <xdr:row>40</xdr:row>
      <xdr:rowOff>104774</xdr:rowOff>
    </xdr:to>
    <xdr:graphicFrame macro="">
      <xdr:nvGraphicFramePr>
        <xdr:cNvPr id="3" name="Chart 2">
          <a:extLst>
            <a:ext uri="{FF2B5EF4-FFF2-40B4-BE49-F238E27FC236}">
              <a16:creationId xmlns:a16="http://schemas.microsoft.com/office/drawing/2014/main" id="{780F663C-A3F2-4A79-C5E3-C977634438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xdr:colOff>
      <xdr:row>19</xdr:row>
      <xdr:rowOff>55244</xdr:rowOff>
    </xdr:from>
    <xdr:to>
      <xdr:col>2</xdr:col>
      <xdr:colOff>2924175</xdr:colOff>
      <xdr:row>40</xdr:row>
      <xdr:rowOff>152399</xdr:rowOff>
    </xdr:to>
    <xdr:graphicFrame macro="">
      <xdr:nvGraphicFramePr>
        <xdr:cNvPr id="4" name="Chart 3">
          <a:extLst>
            <a:ext uri="{FF2B5EF4-FFF2-40B4-BE49-F238E27FC236}">
              <a16:creationId xmlns:a16="http://schemas.microsoft.com/office/drawing/2014/main" id="{D096921D-E69B-0AF8-CB02-0B397D10B9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D1135-56ED-44F8-8DCD-3ADA3100582F}">
  <dimension ref="B35:N77"/>
  <sheetViews>
    <sheetView showGridLines="0" tabSelected="1" zoomScale="115" zoomScaleNormal="115" workbookViewId="0"/>
  </sheetViews>
  <sheetFormatPr defaultRowHeight="12.75" x14ac:dyDescent="0.2"/>
  <sheetData>
    <row r="35" spans="2:14" x14ac:dyDescent="0.2">
      <c r="B35" t="s">
        <v>0</v>
      </c>
    </row>
    <row r="39" spans="2:14" x14ac:dyDescent="0.2">
      <c r="B39" s="119" t="s">
        <v>233</v>
      </c>
      <c r="C39" s="119"/>
      <c r="D39" s="119"/>
      <c r="E39" s="119"/>
      <c r="F39" s="119"/>
      <c r="G39" s="119"/>
      <c r="H39" s="119"/>
      <c r="I39" s="119"/>
      <c r="J39" s="119"/>
      <c r="K39" s="119"/>
      <c r="L39" s="119"/>
      <c r="M39" s="119"/>
      <c r="N39" s="119"/>
    </row>
    <row r="40" spans="2:14" x14ac:dyDescent="0.2">
      <c r="B40" s="119"/>
      <c r="C40" s="119"/>
      <c r="D40" s="119"/>
      <c r="E40" s="119"/>
      <c r="F40" s="119"/>
      <c r="G40" s="119"/>
      <c r="H40" s="119"/>
      <c r="I40" s="119"/>
      <c r="J40" s="119"/>
      <c r="K40" s="119"/>
      <c r="L40" s="119"/>
      <c r="M40" s="119"/>
      <c r="N40" s="119"/>
    </row>
    <row r="41" spans="2:14" x14ac:dyDescent="0.2">
      <c r="B41" s="119"/>
      <c r="C41" s="119"/>
      <c r="D41" s="119"/>
      <c r="E41" s="119"/>
      <c r="F41" s="119"/>
      <c r="G41" s="119"/>
      <c r="H41" s="119"/>
      <c r="I41" s="119"/>
      <c r="J41" s="119"/>
      <c r="K41" s="119"/>
      <c r="L41" s="119"/>
      <c r="M41" s="119"/>
      <c r="N41" s="119"/>
    </row>
    <row r="42" spans="2:14" x14ac:dyDescent="0.2">
      <c r="B42" s="119"/>
      <c r="C42" s="119"/>
      <c r="D42" s="119"/>
      <c r="E42" s="119"/>
      <c r="F42" s="119"/>
      <c r="G42" s="119"/>
      <c r="H42" s="119"/>
      <c r="I42" s="119"/>
      <c r="J42" s="119"/>
      <c r="K42" s="119"/>
      <c r="L42" s="119"/>
      <c r="M42" s="119"/>
      <c r="N42" s="119"/>
    </row>
    <row r="43" spans="2:14" x14ac:dyDescent="0.2">
      <c r="B43" s="119"/>
      <c r="C43" s="119"/>
      <c r="D43" s="119"/>
      <c r="E43" s="119"/>
      <c r="F43" s="119"/>
      <c r="G43" s="119"/>
      <c r="H43" s="119"/>
      <c r="I43" s="119"/>
      <c r="J43" s="119"/>
      <c r="K43" s="119"/>
      <c r="L43" s="119"/>
      <c r="M43" s="119"/>
      <c r="N43" s="119"/>
    </row>
    <row r="44" spans="2:14" x14ac:dyDescent="0.2">
      <c r="B44" s="119"/>
      <c r="C44" s="119"/>
      <c r="D44" s="119"/>
      <c r="E44" s="119"/>
      <c r="F44" s="119"/>
      <c r="G44" s="119"/>
      <c r="H44" s="119"/>
      <c r="I44" s="119"/>
      <c r="J44" s="119"/>
      <c r="K44" s="119"/>
      <c r="L44" s="119"/>
      <c r="M44" s="119"/>
      <c r="N44" s="119"/>
    </row>
    <row r="45" spans="2:14" x14ac:dyDescent="0.2">
      <c r="B45" s="119"/>
      <c r="C45" s="119"/>
      <c r="D45" s="119"/>
      <c r="E45" s="119"/>
      <c r="F45" s="119"/>
      <c r="G45" s="119"/>
      <c r="H45" s="119"/>
      <c r="I45" s="119"/>
      <c r="J45" s="119"/>
      <c r="K45" s="119"/>
      <c r="L45" s="119"/>
      <c r="M45" s="119"/>
      <c r="N45" s="119"/>
    </row>
    <row r="46" spans="2:14" x14ac:dyDescent="0.2">
      <c r="B46" s="119"/>
      <c r="C46" s="119"/>
      <c r="D46" s="119"/>
      <c r="E46" s="119"/>
      <c r="F46" s="119"/>
      <c r="G46" s="119"/>
      <c r="H46" s="119"/>
      <c r="I46" s="119"/>
      <c r="J46" s="119"/>
      <c r="K46" s="119"/>
      <c r="L46" s="119"/>
      <c r="M46" s="119"/>
      <c r="N46" s="119"/>
    </row>
    <row r="47" spans="2:14" x14ac:dyDescent="0.2">
      <c r="B47" s="119"/>
      <c r="C47" s="119"/>
      <c r="D47" s="119"/>
      <c r="E47" s="119"/>
      <c r="F47" s="119"/>
      <c r="G47" s="119"/>
      <c r="H47" s="119"/>
      <c r="I47" s="119"/>
      <c r="J47" s="119"/>
      <c r="K47" s="119"/>
      <c r="L47" s="119"/>
      <c r="M47" s="119"/>
      <c r="N47" s="119"/>
    </row>
    <row r="48" spans="2:14" x14ac:dyDescent="0.2">
      <c r="B48" s="119"/>
      <c r="C48" s="119"/>
      <c r="D48" s="119"/>
      <c r="E48" s="119"/>
      <c r="F48" s="119"/>
      <c r="G48" s="119"/>
      <c r="H48" s="119"/>
      <c r="I48" s="119"/>
      <c r="J48" s="119"/>
      <c r="K48" s="119"/>
      <c r="L48" s="119"/>
      <c r="M48" s="119"/>
      <c r="N48" s="119"/>
    </row>
    <row r="49" spans="2:14" x14ac:dyDescent="0.2">
      <c r="B49" s="119"/>
      <c r="C49" s="119"/>
      <c r="D49" s="119"/>
      <c r="E49" s="119"/>
      <c r="F49" s="119"/>
      <c r="G49" s="119"/>
      <c r="H49" s="119"/>
      <c r="I49" s="119"/>
      <c r="J49" s="119"/>
      <c r="K49" s="119"/>
      <c r="L49" s="119"/>
      <c r="M49" s="119"/>
      <c r="N49" s="119"/>
    </row>
    <row r="50" spans="2:14" x14ac:dyDescent="0.2">
      <c r="B50" s="119"/>
      <c r="C50" s="119"/>
      <c r="D50" s="119"/>
      <c r="E50" s="119"/>
      <c r="F50" s="119"/>
      <c r="G50" s="119"/>
      <c r="H50" s="119"/>
      <c r="I50" s="119"/>
      <c r="J50" s="119"/>
      <c r="K50" s="119"/>
      <c r="L50" s="119"/>
      <c r="M50" s="119"/>
      <c r="N50" s="119"/>
    </row>
    <row r="51" spans="2:14" x14ac:dyDescent="0.2">
      <c r="B51" s="119"/>
      <c r="C51" s="119"/>
      <c r="D51" s="119"/>
      <c r="E51" s="119"/>
      <c r="F51" s="119"/>
      <c r="G51" s="119"/>
      <c r="H51" s="119"/>
      <c r="I51" s="119"/>
      <c r="J51" s="119"/>
      <c r="K51" s="119"/>
      <c r="L51" s="119"/>
      <c r="M51" s="119"/>
      <c r="N51" s="119"/>
    </row>
    <row r="52" spans="2:14" x14ac:dyDescent="0.2">
      <c r="B52" s="119"/>
      <c r="C52" s="119"/>
      <c r="D52" s="119"/>
      <c r="E52" s="119"/>
      <c r="F52" s="119"/>
      <c r="G52" s="119"/>
      <c r="H52" s="119"/>
      <c r="I52" s="119"/>
      <c r="J52" s="119"/>
      <c r="K52" s="119"/>
      <c r="L52" s="119"/>
      <c r="M52" s="119"/>
      <c r="N52" s="119"/>
    </row>
    <row r="53" spans="2:14" x14ac:dyDescent="0.2">
      <c r="B53" s="119"/>
      <c r="C53" s="119"/>
      <c r="D53" s="119"/>
      <c r="E53" s="119"/>
      <c r="F53" s="119"/>
      <c r="G53" s="119"/>
      <c r="H53" s="119"/>
      <c r="I53" s="119"/>
      <c r="J53" s="119"/>
      <c r="K53" s="119"/>
      <c r="L53" s="119"/>
      <c r="M53" s="119"/>
      <c r="N53" s="119"/>
    </row>
    <row r="54" spans="2:14" x14ac:dyDescent="0.2">
      <c r="B54" s="119"/>
      <c r="C54" s="119"/>
      <c r="D54" s="119"/>
      <c r="E54" s="119"/>
      <c r="F54" s="119"/>
      <c r="G54" s="119"/>
      <c r="H54" s="119"/>
      <c r="I54" s="119"/>
      <c r="J54" s="119"/>
      <c r="K54" s="119"/>
      <c r="L54" s="119"/>
      <c r="M54" s="119"/>
      <c r="N54" s="119"/>
    </row>
    <row r="55" spans="2:14" x14ac:dyDescent="0.2">
      <c r="B55" s="119"/>
      <c r="C55" s="119"/>
      <c r="D55" s="119"/>
      <c r="E55" s="119"/>
      <c r="F55" s="119"/>
      <c r="G55" s="119"/>
      <c r="H55" s="119"/>
      <c r="I55" s="119"/>
      <c r="J55" s="119"/>
      <c r="K55" s="119"/>
      <c r="L55" s="119"/>
      <c r="M55" s="119"/>
      <c r="N55" s="119"/>
    </row>
    <row r="56" spans="2:14" x14ac:dyDescent="0.2">
      <c r="B56" s="119"/>
      <c r="C56" s="119"/>
      <c r="D56" s="119"/>
      <c r="E56" s="119"/>
      <c r="F56" s="119"/>
      <c r="G56" s="119"/>
      <c r="H56" s="119"/>
      <c r="I56" s="119"/>
      <c r="J56" s="119"/>
      <c r="K56" s="119"/>
      <c r="L56" s="119"/>
      <c r="M56" s="119"/>
      <c r="N56" s="119"/>
    </row>
    <row r="57" spans="2:14" x14ac:dyDescent="0.2">
      <c r="B57" s="119"/>
      <c r="C57" s="119"/>
      <c r="D57" s="119"/>
      <c r="E57" s="119"/>
      <c r="F57" s="119"/>
      <c r="G57" s="119"/>
      <c r="H57" s="119"/>
      <c r="I57" s="119"/>
      <c r="J57" s="119"/>
      <c r="K57" s="119"/>
      <c r="L57" s="119"/>
      <c r="M57" s="119"/>
      <c r="N57" s="119"/>
    </row>
    <row r="58" spans="2:14" x14ac:dyDescent="0.2">
      <c r="B58" s="119"/>
      <c r="C58" s="119"/>
      <c r="D58" s="119"/>
      <c r="E58" s="119"/>
      <c r="F58" s="119"/>
      <c r="G58" s="119"/>
      <c r="H58" s="119"/>
      <c r="I58" s="119"/>
      <c r="J58" s="119"/>
      <c r="K58" s="119"/>
      <c r="L58" s="119"/>
      <c r="M58" s="119"/>
      <c r="N58" s="119"/>
    </row>
    <row r="59" spans="2:14" x14ac:dyDescent="0.2">
      <c r="B59" s="119"/>
      <c r="C59" s="119"/>
      <c r="D59" s="119"/>
      <c r="E59" s="119"/>
      <c r="F59" s="119"/>
      <c r="G59" s="119"/>
      <c r="H59" s="119"/>
      <c r="I59" s="119"/>
      <c r="J59" s="119"/>
      <c r="K59" s="119"/>
      <c r="L59" s="119"/>
      <c r="M59" s="119"/>
      <c r="N59" s="119"/>
    </row>
    <row r="60" spans="2:14" x14ac:dyDescent="0.2">
      <c r="B60" s="119"/>
      <c r="C60" s="119"/>
      <c r="D60" s="119"/>
      <c r="E60" s="119"/>
      <c r="F60" s="119"/>
      <c r="G60" s="119"/>
      <c r="H60" s="119"/>
      <c r="I60" s="119"/>
      <c r="J60" s="119"/>
      <c r="K60" s="119"/>
      <c r="L60" s="119"/>
      <c r="M60" s="119"/>
      <c r="N60" s="119"/>
    </row>
    <row r="61" spans="2:14" x14ac:dyDescent="0.2">
      <c r="B61" s="119"/>
      <c r="C61" s="119"/>
      <c r="D61" s="119"/>
      <c r="E61" s="119"/>
      <c r="F61" s="119"/>
      <c r="G61" s="119"/>
      <c r="H61" s="119"/>
      <c r="I61" s="119"/>
      <c r="J61" s="119"/>
      <c r="K61" s="119"/>
      <c r="L61" s="119"/>
      <c r="M61" s="119"/>
      <c r="N61" s="119"/>
    </row>
    <row r="62" spans="2:14" x14ac:dyDescent="0.2">
      <c r="B62" s="119"/>
      <c r="C62" s="119"/>
      <c r="D62" s="119"/>
      <c r="E62" s="119"/>
      <c r="F62" s="119"/>
      <c r="G62" s="119"/>
      <c r="H62" s="119"/>
      <c r="I62" s="119"/>
      <c r="J62" s="119"/>
      <c r="K62" s="119"/>
      <c r="L62" s="119"/>
      <c r="M62" s="119"/>
      <c r="N62" s="119"/>
    </row>
    <row r="63" spans="2:14" x14ac:dyDescent="0.2">
      <c r="B63" s="119"/>
      <c r="C63" s="119"/>
      <c r="D63" s="119"/>
      <c r="E63" s="119"/>
      <c r="F63" s="119"/>
      <c r="G63" s="119"/>
      <c r="H63" s="119"/>
      <c r="I63" s="119"/>
      <c r="J63" s="119"/>
      <c r="K63" s="119"/>
      <c r="L63" s="119"/>
      <c r="M63" s="119"/>
      <c r="N63" s="119"/>
    </row>
    <row r="64" spans="2:14" x14ac:dyDescent="0.2">
      <c r="B64" s="119"/>
      <c r="C64" s="119"/>
      <c r="D64" s="119"/>
      <c r="E64" s="119"/>
      <c r="F64" s="119"/>
      <c r="G64" s="119"/>
      <c r="H64" s="119"/>
      <c r="I64" s="119"/>
      <c r="J64" s="119"/>
      <c r="K64" s="119"/>
      <c r="L64" s="119"/>
      <c r="M64" s="119"/>
      <c r="N64" s="119"/>
    </row>
    <row r="65" spans="2:14" x14ac:dyDescent="0.2">
      <c r="B65" s="119"/>
      <c r="C65" s="119"/>
      <c r="D65" s="119"/>
      <c r="E65" s="119"/>
      <c r="F65" s="119"/>
      <c r="G65" s="119"/>
      <c r="H65" s="119"/>
      <c r="I65" s="119"/>
      <c r="J65" s="119"/>
      <c r="K65" s="119"/>
      <c r="L65" s="119"/>
      <c r="M65" s="119"/>
      <c r="N65" s="119"/>
    </row>
    <row r="66" spans="2:14" x14ac:dyDescent="0.2">
      <c r="B66" s="119"/>
      <c r="C66" s="119"/>
      <c r="D66" s="119"/>
      <c r="E66" s="119"/>
      <c r="F66" s="119"/>
      <c r="G66" s="119"/>
      <c r="H66" s="119"/>
      <c r="I66" s="119"/>
      <c r="J66" s="119"/>
      <c r="K66" s="119"/>
      <c r="L66" s="119"/>
      <c r="M66" s="119"/>
      <c r="N66" s="119"/>
    </row>
    <row r="68" spans="2:14" x14ac:dyDescent="0.2">
      <c r="B68" s="119" t="s">
        <v>234</v>
      </c>
      <c r="C68" s="119"/>
      <c r="D68" s="119"/>
      <c r="E68" s="119"/>
      <c r="F68" s="119"/>
      <c r="G68" s="119"/>
      <c r="H68" s="119"/>
      <c r="I68" s="119"/>
      <c r="J68" s="119"/>
      <c r="K68" s="119"/>
      <c r="L68" s="119"/>
      <c r="M68" s="119"/>
      <c r="N68" s="119"/>
    </row>
    <row r="69" spans="2:14" x14ac:dyDescent="0.2">
      <c r="B69" s="119"/>
      <c r="C69" s="119"/>
      <c r="D69" s="119"/>
      <c r="E69" s="119"/>
      <c r="F69" s="119"/>
      <c r="G69" s="119"/>
      <c r="H69" s="119"/>
      <c r="I69" s="119"/>
      <c r="J69" s="119"/>
      <c r="K69" s="119"/>
      <c r="L69" s="119"/>
      <c r="M69" s="119"/>
      <c r="N69" s="119"/>
    </row>
    <row r="70" spans="2:14" x14ac:dyDescent="0.2">
      <c r="B70" s="119"/>
      <c r="C70" s="119"/>
      <c r="D70" s="119"/>
      <c r="E70" s="119"/>
      <c r="F70" s="119"/>
      <c r="G70" s="119"/>
      <c r="H70" s="119"/>
      <c r="I70" s="119"/>
      <c r="J70" s="119"/>
      <c r="K70" s="119"/>
      <c r="L70" s="119"/>
      <c r="M70" s="119"/>
      <c r="N70" s="119"/>
    </row>
    <row r="71" spans="2:14" x14ac:dyDescent="0.2">
      <c r="B71" s="119"/>
      <c r="C71" s="119"/>
      <c r="D71" s="119"/>
      <c r="E71" s="119"/>
      <c r="F71" s="119"/>
      <c r="G71" s="119"/>
      <c r="H71" s="119"/>
      <c r="I71" s="119"/>
      <c r="J71" s="119"/>
      <c r="K71" s="119"/>
      <c r="L71" s="119"/>
      <c r="M71" s="119"/>
      <c r="N71" s="119"/>
    </row>
    <row r="72" spans="2:14" x14ac:dyDescent="0.2">
      <c r="B72" s="119"/>
      <c r="C72" s="119"/>
      <c r="D72" s="119"/>
      <c r="E72" s="119"/>
      <c r="F72" s="119"/>
      <c r="G72" s="119"/>
      <c r="H72" s="119"/>
      <c r="I72" s="119"/>
      <c r="J72" s="119"/>
      <c r="K72" s="119"/>
      <c r="L72" s="119"/>
      <c r="M72" s="119"/>
      <c r="N72" s="119"/>
    </row>
    <row r="73" spans="2:14" x14ac:dyDescent="0.2">
      <c r="B73" s="119"/>
      <c r="C73" s="119"/>
      <c r="D73" s="119"/>
      <c r="E73" s="119"/>
      <c r="F73" s="119"/>
      <c r="G73" s="119"/>
      <c r="H73" s="119"/>
      <c r="I73" s="119"/>
      <c r="J73" s="119"/>
      <c r="K73" s="119"/>
      <c r="L73" s="119"/>
      <c r="M73" s="119"/>
      <c r="N73" s="119"/>
    </row>
    <row r="74" spans="2:14" x14ac:dyDescent="0.2">
      <c r="B74" s="119"/>
      <c r="C74" s="119"/>
      <c r="D74" s="119"/>
      <c r="E74" s="119"/>
      <c r="F74" s="119"/>
      <c r="G74" s="119"/>
      <c r="H74" s="119"/>
      <c r="I74" s="119"/>
      <c r="J74" s="119"/>
      <c r="K74" s="119"/>
      <c r="L74" s="119"/>
      <c r="M74" s="119"/>
      <c r="N74" s="119"/>
    </row>
    <row r="75" spans="2:14" x14ac:dyDescent="0.2">
      <c r="B75" s="119"/>
      <c r="C75" s="119"/>
      <c r="D75" s="119"/>
      <c r="E75" s="119"/>
      <c r="F75" s="119"/>
      <c r="G75" s="119"/>
      <c r="H75" s="119"/>
      <c r="I75" s="119"/>
      <c r="J75" s="119"/>
      <c r="K75" s="119"/>
      <c r="L75" s="119"/>
      <c r="M75" s="119"/>
      <c r="N75" s="119"/>
    </row>
    <row r="76" spans="2:14" x14ac:dyDescent="0.2">
      <c r="B76" s="119"/>
      <c r="C76" s="119"/>
      <c r="D76" s="119"/>
      <c r="E76" s="119"/>
      <c r="F76" s="119"/>
      <c r="G76" s="119"/>
      <c r="H76" s="119"/>
      <c r="I76" s="119"/>
      <c r="J76" s="119"/>
      <c r="K76" s="119"/>
      <c r="L76" s="119"/>
      <c r="M76" s="119"/>
      <c r="N76" s="119"/>
    </row>
    <row r="77" spans="2:14" x14ac:dyDescent="0.2">
      <c r="B77" s="119"/>
      <c r="C77" s="119"/>
      <c r="D77" s="119"/>
      <c r="E77" s="119"/>
      <c r="F77" s="119"/>
      <c r="G77" s="119"/>
      <c r="H77" s="119"/>
      <c r="I77" s="119"/>
      <c r="J77" s="119"/>
      <c r="K77" s="119"/>
      <c r="L77" s="119"/>
      <c r="M77" s="119"/>
      <c r="N77" s="119"/>
    </row>
  </sheetData>
  <sheetProtection algorithmName="SHA-512" hashValue="MRwyXZQpDIx/l1DfLm1J+3Gz4Y1MfVtMyvIf687aGahFS3dA86DLtVzv71clT43xFPhYxB92VPcoydBUn9Ln8g==" saltValue="w/s8on/LJWfUtJiTK24ebg==" spinCount="100000" sheet="1" objects="1" scenarios="1"/>
  <mergeCells count="2">
    <mergeCell ref="B39:N66"/>
    <mergeCell ref="B68:N7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4FE8-3700-4783-B73F-5A20F25CD81D}">
  <dimension ref="B3:N52"/>
  <sheetViews>
    <sheetView showGridLines="0" zoomScaleNormal="100" workbookViewId="0"/>
  </sheetViews>
  <sheetFormatPr defaultRowHeight="12.75" x14ac:dyDescent="0.2"/>
  <cols>
    <col min="2" max="2" width="45.85546875" customWidth="1"/>
  </cols>
  <sheetData>
    <row r="3" spans="2:14" ht="23.25" x14ac:dyDescent="0.35">
      <c r="B3" s="86" t="s">
        <v>1</v>
      </c>
    </row>
    <row r="5" spans="2:14" x14ac:dyDescent="0.2">
      <c r="B5" s="85" t="s">
        <v>2</v>
      </c>
    </row>
    <row r="6" spans="2:14" x14ac:dyDescent="0.2">
      <c r="B6" s="21" t="s">
        <v>3</v>
      </c>
    </row>
    <row r="8" spans="2:14" x14ac:dyDescent="0.2">
      <c r="B8" s="85" t="s">
        <v>4</v>
      </c>
    </row>
    <row r="9" spans="2:14" x14ac:dyDescent="0.2">
      <c r="B9" t="s">
        <v>5</v>
      </c>
    </row>
    <row r="10" spans="2:14" x14ac:dyDescent="0.2">
      <c r="B10" t="s">
        <v>6</v>
      </c>
    </row>
    <row r="12" spans="2:14" x14ac:dyDescent="0.2">
      <c r="B12" s="119" t="s">
        <v>7</v>
      </c>
      <c r="C12" s="119"/>
      <c r="D12" s="119"/>
      <c r="E12" s="119"/>
      <c r="F12" s="119"/>
      <c r="G12" s="119"/>
      <c r="H12" s="119"/>
      <c r="I12" s="119"/>
      <c r="J12" s="119"/>
      <c r="K12" s="119"/>
      <c r="L12" s="119"/>
      <c r="M12" s="119"/>
      <c r="N12" s="119"/>
    </row>
    <row r="13" spans="2:14" x14ac:dyDescent="0.2">
      <c r="B13" s="119"/>
      <c r="C13" s="119"/>
      <c r="D13" s="119"/>
      <c r="E13" s="119"/>
      <c r="F13" s="119"/>
      <c r="G13" s="119"/>
      <c r="H13" s="119"/>
      <c r="I13" s="119"/>
      <c r="J13" s="119"/>
      <c r="K13" s="119"/>
      <c r="L13" s="119"/>
      <c r="M13" s="119"/>
      <c r="N13" s="119"/>
    </row>
    <row r="15" spans="2:14" x14ac:dyDescent="0.2">
      <c r="B15" t="s">
        <v>8</v>
      </c>
    </row>
    <row r="17" spans="2:14" x14ac:dyDescent="0.2">
      <c r="B17" t="s">
        <v>9</v>
      </c>
    </row>
    <row r="21" spans="2:14" x14ac:dyDescent="0.2">
      <c r="B21" s="85" t="s">
        <v>10</v>
      </c>
    </row>
    <row r="22" spans="2:14" x14ac:dyDescent="0.2">
      <c r="B22" t="s">
        <v>11</v>
      </c>
    </row>
    <row r="23" spans="2:14" x14ac:dyDescent="0.2">
      <c r="B23" s="87" t="s">
        <v>12</v>
      </c>
    </row>
    <row r="24" spans="2:14" x14ac:dyDescent="0.2">
      <c r="B24" s="87" t="s">
        <v>13</v>
      </c>
    </row>
    <row r="25" spans="2:14" x14ac:dyDescent="0.2">
      <c r="B25" s="120" t="s">
        <v>14</v>
      </c>
      <c r="C25" s="120"/>
      <c r="D25" s="120"/>
      <c r="E25" s="120"/>
      <c r="F25" s="120"/>
      <c r="G25" s="120"/>
      <c r="H25" s="120"/>
      <c r="I25" s="120"/>
      <c r="J25" s="120"/>
      <c r="K25" s="120"/>
      <c r="L25" s="120"/>
      <c r="M25" s="120"/>
      <c r="N25" s="120"/>
    </row>
    <row r="26" spans="2:14" x14ac:dyDescent="0.2">
      <c r="B26" s="120"/>
      <c r="C26" s="120"/>
      <c r="D26" s="120"/>
      <c r="E26" s="120"/>
      <c r="F26" s="120"/>
      <c r="G26" s="120"/>
      <c r="H26" s="120"/>
      <c r="I26" s="120"/>
      <c r="J26" s="120"/>
      <c r="K26" s="120"/>
      <c r="L26" s="120"/>
      <c r="M26" s="120"/>
      <c r="N26" s="120"/>
    </row>
    <row r="27" spans="2:14" x14ac:dyDescent="0.2">
      <c r="B27" s="87" t="s">
        <v>15</v>
      </c>
    </row>
    <row r="29" spans="2:14" x14ac:dyDescent="0.2">
      <c r="B29" s="89" t="s">
        <v>16</v>
      </c>
    </row>
    <row r="30" spans="2:14" x14ac:dyDescent="0.2">
      <c r="B30" s="88" t="s">
        <v>17</v>
      </c>
    </row>
    <row r="32" spans="2:14" x14ac:dyDescent="0.2">
      <c r="B32" s="85" t="s">
        <v>18</v>
      </c>
    </row>
    <row r="33" spans="2:14" x14ac:dyDescent="0.2">
      <c r="B33" s="88" t="s">
        <v>19</v>
      </c>
    </row>
    <row r="34" spans="2:14" x14ac:dyDescent="0.2">
      <c r="B34" s="121" t="s">
        <v>236</v>
      </c>
      <c r="C34" s="121"/>
      <c r="D34" s="121"/>
      <c r="E34" s="121"/>
      <c r="F34" s="121"/>
      <c r="G34" s="121"/>
      <c r="H34" s="121"/>
      <c r="I34" s="121"/>
      <c r="J34" s="121"/>
      <c r="K34" s="121"/>
      <c r="L34" s="121"/>
      <c r="M34" s="121"/>
      <c r="N34" s="121"/>
    </row>
    <row r="35" spans="2:14" x14ac:dyDescent="0.2">
      <c r="B35" s="121"/>
      <c r="C35" s="121"/>
      <c r="D35" s="121"/>
      <c r="E35" s="121"/>
      <c r="F35" s="121"/>
      <c r="G35" s="121"/>
      <c r="H35" s="121"/>
      <c r="I35" s="121"/>
      <c r="J35" s="121"/>
      <c r="K35" s="121"/>
      <c r="L35" s="121"/>
      <c r="M35" s="121"/>
      <c r="N35" s="121"/>
    </row>
    <row r="36" spans="2:14" x14ac:dyDescent="0.2">
      <c r="B36" s="87" t="s">
        <v>20</v>
      </c>
    </row>
    <row r="37" spans="2:14" x14ac:dyDescent="0.2">
      <c r="B37" s="87" t="s">
        <v>21</v>
      </c>
    </row>
    <row r="38" spans="2:14" x14ac:dyDescent="0.2">
      <c r="B38" s="87" t="s">
        <v>22</v>
      </c>
    </row>
    <row r="39" spans="2:14" x14ac:dyDescent="0.2">
      <c r="B39" s="87"/>
    </row>
    <row r="42" spans="2:14" x14ac:dyDescent="0.2">
      <c r="B42" s="85" t="s">
        <v>23</v>
      </c>
    </row>
    <row r="43" spans="2:14" x14ac:dyDescent="0.2">
      <c r="B43" t="s">
        <v>24</v>
      </c>
    </row>
    <row r="44" spans="2:14" x14ac:dyDescent="0.2">
      <c r="B44" t="s">
        <v>25</v>
      </c>
    </row>
    <row r="46" spans="2:14" x14ac:dyDescent="0.2">
      <c r="B46" t="s">
        <v>26</v>
      </c>
    </row>
    <row r="48" spans="2:14" x14ac:dyDescent="0.2">
      <c r="B48" s="119" t="s">
        <v>27</v>
      </c>
      <c r="C48" s="119"/>
      <c r="D48" s="119"/>
      <c r="E48" s="119"/>
      <c r="F48" s="119"/>
      <c r="G48" s="119"/>
      <c r="H48" s="119"/>
      <c r="I48" s="119"/>
      <c r="J48" s="119"/>
      <c r="K48" s="119"/>
      <c r="L48" s="119"/>
      <c r="M48" s="119"/>
      <c r="N48" s="119"/>
    </row>
    <row r="49" spans="2:14" x14ac:dyDescent="0.2">
      <c r="B49" s="119"/>
      <c r="C49" s="119"/>
      <c r="D49" s="119"/>
      <c r="E49" s="119"/>
      <c r="F49" s="119"/>
      <c r="G49" s="119"/>
      <c r="H49" s="119"/>
      <c r="I49" s="119"/>
      <c r="J49" s="119"/>
      <c r="K49" s="119"/>
      <c r="L49" s="119"/>
      <c r="M49" s="119"/>
      <c r="N49" s="119"/>
    </row>
    <row r="51" spans="2:14" x14ac:dyDescent="0.2">
      <c r="B51" s="119" t="s">
        <v>28</v>
      </c>
      <c r="C51" s="119"/>
      <c r="D51" s="119"/>
      <c r="E51" s="119"/>
      <c r="F51" s="119"/>
      <c r="G51" s="119"/>
      <c r="H51" s="119"/>
      <c r="I51" s="119"/>
      <c r="J51" s="119"/>
      <c r="K51" s="119"/>
      <c r="L51" s="119"/>
      <c r="M51" s="119"/>
      <c r="N51" s="119"/>
    </row>
    <row r="52" spans="2:14" x14ac:dyDescent="0.2">
      <c r="B52" s="119"/>
      <c r="C52" s="119"/>
      <c r="D52" s="119"/>
      <c r="E52" s="119"/>
      <c r="F52" s="119"/>
      <c r="G52" s="119"/>
      <c r="H52" s="119"/>
      <c r="I52" s="119"/>
      <c r="J52" s="119"/>
      <c r="K52" s="119"/>
      <c r="L52" s="119"/>
      <c r="M52" s="119"/>
      <c r="N52" s="119"/>
    </row>
  </sheetData>
  <mergeCells count="5">
    <mergeCell ref="B12:N13"/>
    <mergeCell ref="B25:N26"/>
    <mergeCell ref="B34:N35"/>
    <mergeCell ref="B48:N49"/>
    <mergeCell ref="B51:N5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497C1-A692-475B-AF13-C779E22592C4}">
  <sheetPr>
    <tabColor theme="9"/>
  </sheetPr>
  <dimension ref="A1:J37"/>
  <sheetViews>
    <sheetView showGridLines="0" workbookViewId="0"/>
  </sheetViews>
  <sheetFormatPr defaultRowHeight="12.75" x14ac:dyDescent="0.2"/>
  <cols>
    <col min="2" max="2" width="26.85546875" customWidth="1"/>
    <col min="3" max="3" width="42.85546875" customWidth="1"/>
    <col min="6" max="6" width="37.42578125" customWidth="1"/>
    <col min="7" max="7" width="11" customWidth="1"/>
    <col min="8" max="8" width="12.42578125" customWidth="1"/>
    <col min="9" max="9" width="34.140625" bestFit="1" customWidth="1"/>
    <col min="10" max="10" width="22.140625" bestFit="1" customWidth="1"/>
  </cols>
  <sheetData>
    <row r="1" spans="1:10" ht="15.75" x14ac:dyDescent="0.25">
      <c r="A1" s="59" t="s">
        <v>29</v>
      </c>
      <c r="C1" s="104" t="s">
        <v>30</v>
      </c>
    </row>
    <row r="3" spans="1:10" ht="15.75" x14ac:dyDescent="0.25">
      <c r="B3" s="59" t="s">
        <v>31</v>
      </c>
      <c r="G3" s="72" t="s">
        <v>32</v>
      </c>
      <c r="H3" s="72" t="s">
        <v>33</v>
      </c>
      <c r="I3" s="72" t="s">
        <v>34</v>
      </c>
    </row>
    <row r="4" spans="1:10" ht="25.5" x14ac:dyDescent="0.2">
      <c r="B4" s="70" t="s">
        <v>32</v>
      </c>
      <c r="C4" s="71" t="s">
        <v>35</v>
      </c>
      <c r="D4" s="84" t="s">
        <v>36</v>
      </c>
      <c r="G4" s="69" t="s">
        <v>37</v>
      </c>
      <c r="H4" s="69" t="s">
        <v>38</v>
      </c>
      <c r="I4" s="69" t="s">
        <v>39</v>
      </c>
    </row>
    <row r="5" spans="1:10" ht="25.5" x14ac:dyDescent="0.2">
      <c r="B5" s="70" t="s">
        <v>40</v>
      </c>
      <c r="C5" s="71" t="s">
        <v>41</v>
      </c>
      <c r="D5" s="84" t="s">
        <v>36</v>
      </c>
      <c r="G5" s="69" t="s">
        <v>42</v>
      </c>
      <c r="H5" s="69" t="s">
        <v>43</v>
      </c>
      <c r="I5" s="69" t="s">
        <v>44</v>
      </c>
    </row>
    <row r="6" spans="1:10" ht="25.5" x14ac:dyDescent="0.2">
      <c r="B6" s="70" t="s">
        <v>45</v>
      </c>
      <c r="C6" s="70" t="str">
        <f>VLOOKUP(C4,Parameters!$AS$7:$AT$27,2,FALSE)</f>
        <v>Software Supply Chain</v>
      </c>
      <c r="G6" s="69" t="s">
        <v>46</v>
      </c>
      <c r="H6" s="69" t="s">
        <v>47</v>
      </c>
      <c r="I6" s="69" t="s">
        <v>48</v>
      </c>
    </row>
    <row r="7" spans="1:10" ht="26.45" customHeight="1" x14ac:dyDescent="0.2">
      <c r="B7" s="70" t="s">
        <v>49</v>
      </c>
      <c r="C7" s="70" t="str">
        <f>VLOOKUP(C4,Parameters!$AS$7:$AY$21,7,FALSE)</f>
        <v>Established with Initial Access</v>
      </c>
    </row>
    <row r="8" spans="1:10" ht="26.45" customHeight="1" x14ac:dyDescent="0.2">
      <c r="B8" s="70" t="s">
        <v>50</v>
      </c>
      <c r="C8" s="70" t="str">
        <f>VLOOKUP(C4,Parameters!$AS$7:$BD$21,12,FALSE)</f>
        <v>Initial Access already widespread</v>
      </c>
    </row>
    <row r="9" spans="1:10" ht="26.45" customHeight="1" x14ac:dyDescent="0.2">
      <c r="B9" s="70" t="s">
        <v>51</v>
      </c>
      <c r="C9" s="70" t="str">
        <f>VLOOKUP(C4,Parameters!$AS$7:$BI$21,17,FALSE)</f>
        <v>Data destruction/wipe</v>
      </c>
    </row>
    <row r="13" spans="1:10" ht="15.75" x14ac:dyDescent="0.25">
      <c r="B13" s="59" t="s">
        <v>52</v>
      </c>
      <c r="C13" s="64" t="s">
        <v>53</v>
      </c>
      <c r="F13" s="59" t="s">
        <v>54</v>
      </c>
      <c r="I13" s="59" t="s">
        <v>55</v>
      </c>
    </row>
    <row r="14" spans="1:10" x14ac:dyDescent="0.2">
      <c r="B14" s="61" t="s">
        <v>56</v>
      </c>
      <c r="C14" s="62">
        <f>SUM(Calculation!BM5:BM24)</f>
        <v>11727435.966352375</v>
      </c>
      <c r="F14" s="5" t="s">
        <v>57</v>
      </c>
      <c r="G14" s="17">
        <f>SUMIF(Calculation!$L$5:$L$24,Results!F14,Calculation!$BM$5:$BM$24)/$C$14</f>
        <v>6.7568445901535878E-4</v>
      </c>
      <c r="I14" s="5" t="str">
        <f>Mapping!I3</f>
        <v>1.1 IT - Software</v>
      </c>
      <c r="J14" s="17">
        <f>SUMIF(Calculation!$E$5:$E$24,Results!I14,Calculation!$BM$5:$BM$24)/Results!$C$14</f>
        <v>0</v>
      </c>
    </row>
    <row r="15" spans="1:10" x14ac:dyDescent="0.2">
      <c r="B15" s="5" t="s">
        <v>58</v>
      </c>
      <c r="C15" s="62">
        <f>SUM(Calculation!BJ5:BJ24)</f>
        <v>9347574.5384190064</v>
      </c>
      <c r="F15" s="5" t="s">
        <v>59</v>
      </c>
      <c r="G15" s="17">
        <f>SUMIF(Calculation!$L$5:$L$24,Results!F15,Calculation!$BM$5:$BM$24)/$C$14</f>
        <v>8.6970822161506964E-3</v>
      </c>
      <c r="I15" s="5" t="str">
        <f>Mapping!I4</f>
        <v>1.2 IT - Hardware</v>
      </c>
      <c r="J15" s="17">
        <f>SUMIF(Calculation!$E$5:$E$24,Results!I15,Calculation!$BM$5:$BM$24)/Results!$C$14</f>
        <v>0</v>
      </c>
    </row>
    <row r="16" spans="1:10" x14ac:dyDescent="0.2">
      <c r="B16" s="5" t="s">
        <v>60</v>
      </c>
      <c r="C16" s="62">
        <f>SUM(Calculation!BL5:BL24)</f>
        <v>542132.06354999996</v>
      </c>
      <c r="F16" s="5" t="s">
        <v>61</v>
      </c>
      <c r="G16" s="17">
        <f>SUMIF(Calculation!$L$5:$L$24,Results!F16,Calculation!$BM$5:$BM$24)/$C$14</f>
        <v>7.5534058501554244E-3</v>
      </c>
      <c r="I16" s="5" t="str">
        <f>Mapping!I5</f>
        <v>1.3 IT - Services</v>
      </c>
      <c r="J16" s="17">
        <f>SUMIF(Calculation!$E$5:$E$24,Results!I16,Calculation!$BM$5:$BM$24)/Results!$C$14</f>
        <v>2.9199521534211841E-2</v>
      </c>
    </row>
    <row r="17" spans="2:10" x14ac:dyDescent="0.2">
      <c r="B17" s="5" t="s">
        <v>62</v>
      </c>
      <c r="C17" s="62">
        <f>SUM(Calculation!BK5:BK24)</f>
        <v>1837729.3643833681</v>
      </c>
      <c r="F17" s="5" t="s">
        <v>63</v>
      </c>
      <c r="G17" s="17">
        <f>SUMIF(Calculation!$L$5:$L$24,Results!F17,Calculation!$BM$5:$BM$24)/$C$14</f>
        <v>0</v>
      </c>
      <c r="I17" s="5" t="str">
        <f>Mapping!I6</f>
        <v>2 Retail</v>
      </c>
      <c r="J17" s="17">
        <f>SUMIF(Calculation!$E$5:$E$24,Results!I17,Calculation!$BM$5:$BM$24)/Results!$C$14</f>
        <v>0.32391107496297911</v>
      </c>
    </row>
    <row r="18" spans="2:10" x14ac:dyDescent="0.2">
      <c r="B18" s="158" t="s">
        <v>237</v>
      </c>
      <c r="C18" s="60"/>
      <c r="F18" s="5" t="s">
        <v>64</v>
      </c>
      <c r="G18" s="17">
        <f>SUMIF(Calculation!$L$5:$L$24,Results!F18,Calculation!$BM$5:$BM$24)/$C$14</f>
        <v>0.98307382747467853</v>
      </c>
      <c r="I18" s="5" t="str">
        <f>Mapping!I7</f>
        <v>3.1 Finance - Banking</v>
      </c>
      <c r="J18" s="17">
        <f>SUMIF(Calculation!$E$5:$E$24,Results!I18,Calculation!$BM$5:$BM$24)/Results!$C$14</f>
        <v>0.17200051279643808</v>
      </c>
    </row>
    <row r="19" spans="2:10" x14ac:dyDescent="0.2">
      <c r="I19" s="5" t="str">
        <f>Mapping!I8</f>
        <v>3.2 Finance - Insurance</v>
      </c>
      <c r="J19" s="17">
        <f>SUMIF(Calculation!$E$5:$E$24,Results!I19,Calculation!$BM$5:$BM$24)/Results!$C$14</f>
        <v>0</v>
      </c>
    </row>
    <row r="20" spans="2:10" x14ac:dyDescent="0.2">
      <c r="I20" s="5" t="str">
        <f>Mapping!I9</f>
        <v>3.3 Finance - Investment management</v>
      </c>
      <c r="J20" s="17">
        <f>SUMIF(Calculation!$E$5:$E$24,Results!I20,Calculation!$BM$5:$BM$24)/Results!$C$14</f>
        <v>4.9672607456527811E-3</v>
      </c>
    </row>
    <row r="21" spans="2:10" x14ac:dyDescent="0.2">
      <c r="I21" s="5" t="str">
        <f>Mapping!I10</f>
        <v>4 Healthcare</v>
      </c>
      <c r="J21" s="17">
        <f>SUMIF(Calculation!$E$5:$E$24,Results!I21,Calculation!$BM$5:$BM$24)/Results!$C$14</f>
        <v>2.6566161583688182E-3</v>
      </c>
    </row>
    <row r="22" spans="2:10" x14ac:dyDescent="0.2">
      <c r="I22" s="5" t="str">
        <f>Mapping!I11</f>
        <v>5 Business &amp; Professional Services</v>
      </c>
      <c r="J22" s="17">
        <f>SUMIF(Calculation!$E$5:$E$24,Results!I22,Calculation!$BM$5:$BM$24)/Results!$C$14</f>
        <v>3.2023888208751877E-3</v>
      </c>
    </row>
    <row r="23" spans="2:10" x14ac:dyDescent="0.2">
      <c r="I23" s="5" t="str">
        <f>Mapping!I12</f>
        <v>6 Energy</v>
      </c>
      <c r="J23" s="17">
        <f>SUMIF(Calculation!$E$5:$E$24,Results!I23,Calculation!$BM$5:$BM$24)/Results!$C$14</f>
        <v>3.7603483234296606E-4</v>
      </c>
    </row>
    <row r="24" spans="2:10" x14ac:dyDescent="0.2">
      <c r="I24" s="5" t="str">
        <f>Mapping!I13</f>
        <v>7 Telecommunications</v>
      </c>
      <c r="J24" s="17">
        <f>SUMIF(Calculation!$E$5:$E$24,Results!I24,Calculation!$BM$5:$BM$24)/Results!$C$14</f>
        <v>4.6161692334853253E-5</v>
      </c>
    </row>
    <row r="25" spans="2:10" x14ac:dyDescent="0.2">
      <c r="I25" s="5" t="str">
        <f>Mapping!I14</f>
        <v>8 Utilities</v>
      </c>
      <c r="J25" s="17">
        <f>SUMIF(Calculation!$E$5:$E$24,Results!I25,Calculation!$BM$5:$BM$24)/Results!$C$14</f>
        <v>8.4808451956905825E-6</v>
      </c>
    </row>
    <row r="26" spans="2:10" x14ac:dyDescent="0.2">
      <c r="I26" s="5" t="str">
        <f>Mapping!I15</f>
        <v>9 Tourism &amp; Hospitality</v>
      </c>
      <c r="J26" s="17">
        <f>SUMIF(Calculation!$E$5:$E$24,Results!I26,Calculation!$BM$5:$BM$24)/Results!$C$14</f>
        <v>4.4971496448671919E-2</v>
      </c>
    </row>
    <row r="27" spans="2:10" x14ac:dyDescent="0.2">
      <c r="I27" s="5" t="str">
        <f>Mapping!I16</f>
        <v>10 Manufacturing</v>
      </c>
      <c r="J27" s="17">
        <f>SUMIF(Calculation!$E$5:$E$24,Results!I27,Calculation!$BM$5:$BM$24)/Results!$C$14</f>
        <v>0.26478970905845389</v>
      </c>
    </row>
    <row r="28" spans="2:10" x14ac:dyDescent="0.2">
      <c r="I28" s="5" t="str">
        <f>Mapping!I17</f>
        <v>11 Pharmaceuticals</v>
      </c>
      <c r="J28" s="17">
        <f>SUMIF(Calculation!$E$5:$E$24,Results!I28,Calculation!$BM$5:$BM$24)/Results!$C$14</f>
        <v>0</v>
      </c>
    </row>
    <row r="29" spans="2:10" x14ac:dyDescent="0.2">
      <c r="I29" s="5" t="str">
        <f>Mapping!I18</f>
        <v>12 Defense / Military Contractor</v>
      </c>
      <c r="J29" s="17">
        <f>SUMIF(Calculation!$E$5:$E$24,Results!I29,Calculation!$BM$5:$BM$24)/Results!$C$14</f>
        <v>0</v>
      </c>
    </row>
    <row r="30" spans="2:10" x14ac:dyDescent="0.2">
      <c r="I30" s="5" t="str">
        <f>Mapping!I19</f>
        <v>13 Entertainment &amp; Media</v>
      </c>
      <c r="J30" s="17">
        <f>SUMIF(Calculation!$E$5:$E$24,Results!I30,Calculation!$BM$5:$BM$24)/Results!$C$14</f>
        <v>2.5861451045026424E-3</v>
      </c>
    </row>
    <row r="31" spans="2:10" x14ac:dyDescent="0.2">
      <c r="I31" s="5" t="str">
        <f>Mapping!I20</f>
        <v>14 Transportation/Aviation/Aerospace</v>
      </c>
      <c r="J31" s="17">
        <f>SUMIF(Calculation!$E$5:$E$24,Results!I31,Calculation!$BM$5:$BM$24)/Results!$C$14</f>
        <v>5.958417015318252E-4</v>
      </c>
    </row>
    <row r="32" spans="2:10" x14ac:dyDescent="0.2">
      <c r="I32" s="5" t="str">
        <f>Mapping!I21</f>
        <v>15 Public Authority; NGOs; Non-Profit</v>
      </c>
      <c r="J32" s="17">
        <f>SUMIF(Calculation!$E$5:$E$24,Results!I32,Calculation!$BM$5:$BM$24)/Results!$C$14</f>
        <v>2.2422355353748655E-3</v>
      </c>
    </row>
    <row r="33" spans="9:10" x14ac:dyDescent="0.2">
      <c r="I33" s="5" t="str">
        <f>Mapping!I22</f>
        <v>16 Real Estate, Property &amp; Construction</v>
      </c>
      <c r="J33" s="17">
        <f>SUMIF(Calculation!$E$5:$E$24,Results!I33,Calculation!$BM$5:$BM$24)/Results!$C$14</f>
        <v>2.0394282508939509E-4</v>
      </c>
    </row>
    <row r="34" spans="9:10" x14ac:dyDescent="0.2">
      <c r="I34" s="5" t="str">
        <f>Mapping!I23</f>
        <v>17 Education</v>
      </c>
      <c r="J34" s="17">
        <f>SUMIF(Calculation!$E$5:$E$24,Results!I34,Calculation!$BM$5:$BM$24)/Results!$C$14</f>
        <v>3.690486492262305E-5</v>
      </c>
    </row>
    <row r="35" spans="9:10" x14ac:dyDescent="0.2">
      <c r="I35" s="5" t="str">
        <f>Mapping!I24</f>
        <v>18 Mining &amp; Primary Industries</v>
      </c>
      <c r="J35" s="17">
        <f>SUMIF(Calculation!$E$5:$E$24,Results!I35,Calculation!$BM$5:$BM$24)/Results!$C$14</f>
        <v>4.1593991298307598E-6</v>
      </c>
    </row>
    <row r="36" spans="9:10" x14ac:dyDescent="0.2">
      <c r="I36" s="5" t="str">
        <f>Mapping!I25</f>
        <v>19 Food &amp; Agriculture</v>
      </c>
      <c r="J36" s="17">
        <f>SUMIF(Calculation!$E$5:$E$24,Results!I36,Calculation!$BM$5:$BM$24)/Results!$C$14</f>
        <v>0</v>
      </c>
    </row>
    <row r="37" spans="9:10" x14ac:dyDescent="0.2">
      <c r="I37" s="5" t="str">
        <f>Mapping!I26</f>
        <v>20 Other</v>
      </c>
      <c r="J37" s="17">
        <f>SUMIF(Calculation!$E$5:$E$24,Results!I37,Calculation!$BM$5:$BM$24)/Results!$C$14</f>
        <v>0.1482015126739237</v>
      </c>
    </row>
  </sheetData>
  <conditionalFormatting sqref="J14:J37">
    <cfRule type="dataBar" priority="1">
      <dataBar>
        <cfvo type="min"/>
        <cfvo type="max"/>
        <color rgb="FF638EC6"/>
      </dataBar>
      <extLst>
        <ext xmlns:x14="http://schemas.microsoft.com/office/spreadsheetml/2009/9/main" uri="{B025F937-C7B1-47D3-B67F-A62EFF666E3E}">
          <x14:id>{F55FA250-68BF-4F5C-84C2-0AEA754B892B}</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5FA250-68BF-4F5C-84C2-0AEA754B892B}">
            <x14:dataBar minLength="0" maxLength="100" border="1" negativeBarBorderColorSameAsPositive="0">
              <x14:cfvo type="autoMin"/>
              <x14:cfvo type="autoMax"/>
              <x14:borderColor rgb="FF638EC6"/>
              <x14:negativeFillColor rgb="FFFF0000"/>
              <x14:negativeBorderColor rgb="FFFF0000"/>
              <x14:axisColor rgb="FF000000"/>
            </x14:dataBar>
          </x14:cfRule>
          <xm:sqref>J14:J37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7FAD2EB-92F2-4A6C-AE11-58D2919591B5}">
          <x14:formula1>
            <xm:f>Mapping!$D$3:$D$5</xm:f>
          </x14:formula1>
          <xm:sqref>C4</xm:sqref>
        </x14:dataValidation>
        <x14:dataValidation type="list" allowBlank="1" showInputMessage="1" showErrorMessage="1" xr:uid="{6BAFCDAA-4A48-421C-9F6E-9FE746CE6178}">
          <x14:formula1>
            <xm:f>Mapping!$B$3:$B$6</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3A9AC-64A4-4E7E-B5F7-1F9C9E1652FD}">
  <sheetPr>
    <tabColor theme="8"/>
  </sheetPr>
  <dimension ref="B1:BU25"/>
  <sheetViews>
    <sheetView showGridLines="0" workbookViewId="0"/>
  </sheetViews>
  <sheetFormatPr defaultRowHeight="12.75" x14ac:dyDescent="0.2"/>
  <cols>
    <col min="1" max="1" width="5.42578125" customWidth="1"/>
    <col min="2" max="2" width="6.85546875" customWidth="1"/>
    <col min="3" max="3" width="16" bestFit="1" customWidth="1"/>
    <col min="4" max="4" width="14.140625" customWidth="1"/>
    <col min="5" max="5" width="35.140625" bestFit="1" customWidth="1"/>
    <col min="6" max="7" width="15.5703125" bestFit="1" customWidth="1"/>
    <col min="8" max="8" width="16.5703125" bestFit="1" customWidth="1"/>
    <col min="9" max="9" width="18" customWidth="1"/>
    <col min="10" max="10" width="14.5703125" customWidth="1"/>
    <col min="11" max="11" width="11.42578125" customWidth="1"/>
    <col min="12" max="12" width="14.42578125" style="52" customWidth="1"/>
    <col min="13" max="13" width="31.85546875" customWidth="1"/>
    <col min="14" max="17" width="11.5703125" customWidth="1"/>
    <col min="18" max="18" width="13.5703125" customWidth="1"/>
    <col min="19" max="19" width="11.5703125" style="52" customWidth="1"/>
    <col min="20" max="21" width="11.5703125" customWidth="1"/>
    <col min="22" max="22" width="13.85546875" customWidth="1"/>
    <col min="23" max="23" width="10" customWidth="1"/>
    <col min="24" max="26" width="10.42578125" customWidth="1"/>
    <col min="27" max="27" width="11.5703125" style="52" customWidth="1"/>
    <col min="28" max="29" width="10.85546875" customWidth="1"/>
    <col min="30" max="50" width="14.5703125" customWidth="1"/>
    <col min="51" max="51" width="13.42578125" customWidth="1"/>
    <col min="52" max="52" width="14.140625" style="52" bestFit="1" customWidth="1"/>
    <col min="53" max="53" width="12" customWidth="1"/>
    <col min="54" max="54" width="13.85546875" customWidth="1"/>
    <col min="55" max="55" width="14" customWidth="1"/>
    <col min="56" max="56" width="13.140625" style="52" customWidth="1"/>
    <col min="57" max="61" width="13.140625" customWidth="1"/>
    <col min="62" max="62" width="12.5703125" style="52" customWidth="1"/>
    <col min="63" max="64" width="12.5703125" customWidth="1"/>
    <col min="65" max="65" width="13.42578125" customWidth="1"/>
    <col min="66" max="66" width="8.85546875" style="52"/>
    <col min="72" max="72" width="10.85546875" bestFit="1" customWidth="1"/>
  </cols>
  <sheetData>
    <row r="1" spans="2:73" x14ac:dyDescent="0.2">
      <c r="L1"/>
      <c r="S1"/>
      <c r="AA1"/>
      <c r="AZ1"/>
      <c r="BD1"/>
      <c r="BJ1"/>
      <c r="BN1"/>
    </row>
    <row r="2" spans="2:73" ht="13.5" thickBot="1" x14ac:dyDescent="0.25">
      <c r="B2" t="s">
        <v>65</v>
      </c>
      <c r="L2"/>
      <c r="S2"/>
      <c r="AA2"/>
      <c r="AZ2"/>
      <c r="BD2" t="s">
        <v>66</v>
      </c>
      <c r="BE2" t="s">
        <v>67</v>
      </c>
      <c r="BF2" t="s">
        <v>68</v>
      </c>
      <c r="BJ2"/>
      <c r="BN2"/>
    </row>
    <row r="3" spans="2:73" ht="13.5" thickBot="1" x14ac:dyDescent="0.25">
      <c r="F3" s="7"/>
      <c r="L3" s="128" t="s">
        <v>69</v>
      </c>
      <c r="M3" s="129"/>
      <c r="N3" s="129"/>
      <c r="O3" s="129"/>
      <c r="P3" s="129"/>
      <c r="Q3" s="129"/>
      <c r="R3" s="130"/>
      <c r="S3" s="134" t="s">
        <v>70</v>
      </c>
      <c r="T3" s="135"/>
      <c r="U3" s="135"/>
      <c r="V3" s="135"/>
      <c r="W3" s="135"/>
      <c r="X3" s="135"/>
      <c r="Y3" s="135"/>
      <c r="Z3" s="136"/>
      <c r="AA3" s="131" t="s">
        <v>58</v>
      </c>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3"/>
      <c r="AZ3" s="137" t="s">
        <v>71</v>
      </c>
      <c r="BA3" s="138"/>
      <c r="BB3" s="138"/>
      <c r="BC3" s="139"/>
      <c r="BD3" s="125" t="s">
        <v>72</v>
      </c>
      <c r="BE3" s="126"/>
      <c r="BF3" s="126"/>
      <c r="BG3" s="126"/>
      <c r="BH3" s="126"/>
      <c r="BI3" s="127"/>
      <c r="BJ3" s="122" t="s">
        <v>73</v>
      </c>
      <c r="BK3" s="123"/>
      <c r="BL3" s="123"/>
      <c r="BM3" s="124"/>
      <c r="BN3"/>
    </row>
    <row r="4" spans="2:73" s="47" customFormat="1" ht="44.45" customHeight="1" x14ac:dyDescent="0.2">
      <c r="B4" s="79" t="s">
        <v>74</v>
      </c>
      <c r="C4" s="79" t="s">
        <v>75</v>
      </c>
      <c r="D4" s="79" t="s">
        <v>76</v>
      </c>
      <c r="E4" s="79" t="s">
        <v>77</v>
      </c>
      <c r="F4" s="75" t="s">
        <v>78</v>
      </c>
      <c r="G4" s="75" t="s">
        <v>79</v>
      </c>
      <c r="H4" s="75" t="s">
        <v>80</v>
      </c>
      <c r="I4" s="75" t="s">
        <v>81</v>
      </c>
      <c r="J4" s="75" t="s">
        <v>82</v>
      </c>
      <c r="K4" s="75" t="s">
        <v>83</v>
      </c>
      <c r="L4" s="74" t="s">
        <v>84</v>
      </c>
      <c r="M4" s="75" t="s">
        <v>85</v>
      </c>
      <c r="N4" s="75" t="s">
        <v>86</v>
      </c>
      <c r="O4" s="75" t="s">
        <v>87</v>
      </c>
      <c r="P4" s="76" t="s">
        <v>88</v>
      </c>
      <c r="Q4" s="76" t="s">
        <v>89</v>
      </c>
      <c r="R4" s="75" t="s">
        <v>90</v>
      </c>
      <c r="S4" s="77" t="s">
        <v>91</v>
      </c>
      <c r="T4" s="78" t="s">
        <v>92</v>
      </c>
      <c r="U4" s="78" t="s">
        <v>93</v>
      </c>
      <c r="V4" s="78" t="s">
        <v>94</v>
      </c>
      <c r="W4" s="78" t="s">
        <v>95</v>
      </c>
      <c r="X4" s="78" t="s">
        <v>96</v>
      </c>
      <c r="Y4" s="78" t="s">
        <v>97</v>
      </c>
      <c r="Z4" s="78" t="s">
        <v>98</v>
      </c>
      <c r="AA4" s="74" t="s">
        <v>99</v>
      </c>
      <c r="AB4" s="79" t="s">
        <v>100</v>
      </c>
      <c r="AC4" s="79" t="s">
        <v>101</v>
      </c>
      <c r="AD4" s="82">
        <v>0.03</v>
      </c>
      <c r="AE4" s="82">
        <v>0.05</v>
      </c>
      <c r="AF4" s="82">
        <v>0.1</v>
      </c>
      <c r="AG4" s="82">
        <v>0.15</v>
      </c>
      <c r="AH4" s="82">
        <v>0.2</v>
      </c>
      <c r="AI4" s="82">
        <v>0.25</v>
      </c>
      <c r="AJ4" s="82">
        <v>0.3</v>
      </c>
      <c r="AK4" s="82">
        <v>0.35</v>
      </c>
      <c r="AL4" s="82">
        <v>0.4</v>
      </c>
      <c r="AM4" s="82">
        <v>0.45</v>
      </c>
      <c r="AN4" s="82">
        <v>0.5</v>
      </c>
      <c r="AO4" s="82">
        <v>0.55000000000000004</v>
      </c>
      <c r="AP4" s="82">
        <v>0.6</v>
      </c>
      <c r="AQ4" s="82">
        <v>0.65</v>
      </c>
      <c r="AR4" s="82">
        <v>0.7</v>
      </c>
      <c r="AS4" s="82">
        <v>0.75</v>
      </c>
      <c r="AT4" s="82">
        <v>0.8</v>
      </c>
      <c r="AU4" s="82">
        <v>0.85</v>
      </c>
      <c r="AV4" s="82">
        <v>0.9</v>
      </c>
      <c r="AW4" s="82">
        <v>0.95</v>
      </c>
      <c r="AX4" s="82">
        <v>0.97</v>
      </c>
      <c r="AY4" s="79" t="s">
        <v>102</v>
      </c>
      <c r="AZ4" s="80" t="s">
        <v>103</v>
      </c>
      <c r="BA4" s="79" t="s">
        <v>104</v>
      </c>
      <c r="BB4" s="79" t="s">
        <v>105</v>
      </c>
      <c r="BC4" s="79" t="s">
        <v>106</v>
      </c>
      <c r="BD4" s="80" t="s">
        <v>107</v>
      </c>
      <c r="BE4" s="79" t="s">
        <v>108</v>
      </c>
      <c r="BF4" s="79" t="s">
        <v>109</v>
      </c>
      <c r="BG4" s="79" t="s">
        <v>110</v>
      </c>
      <c r="BH4" s="79" t="s">
        <v>111</v>
      </c>
      <c r="BI4" s="79" t="s">
        <v>112</v>
      </c>
      <c r="BJ4" s="80" t="s">
        <v>113</v>
      </c>
      <c r="BK4" s="79" t="s">
        <v>114</v>
      </c>
      <c r="BL4" s="79" t="s">
        <v>115</v>
      </c>
      <c r="BM4" s="83" t="s">
        <v>116</v>
      </c>
      <c r="BN4" s="54"/>
    </row>
    <row r="5" spans="2:73" x14ac:dyDescent="0.2">
      <c r="B5" s="48">
        <v>1</v>
      </c>
      <c r="C5" s="48" t="s">
        <v>117</v>
      </c>
      <c r="D5" s="48" t="s">
        <v>41</v>
      </c>
      <c r="E5" s="48" t="s">
        <v>118</v>
      </c>
      <c r="F5" s="49">
        <v>100000000</v>
      </c>
      <c r="G5" s="49">
        <v>500000000</v>
      </c>
      <c r="H5" s="49"/>
      <c r="I5" s="49">
        <v>500000000000</v>
      </c>
      <c r="J5" s="49">
        <v>100000000</v>
      </c>
      <c r="K5" s="50">
        <v>0.1</v>
      </c>
      <c r="L5" s="52" t="str">
        <f>INDEX(Mapping!$F$3:$F$7,MATCH(Calculation!I5,Mapping!$G$2:$G$6,1))</f>
        <v>10b and above</v>
      </c>
      <c r="M5" t="str">
        <f>VLOOKUP(E5,Mapping!$I$3:$J$26,2,FALSE)</f>
        <v>1.3 IT - Services</v>
      </c>
      <c r="N5" t="str">
        <f>INDEX(Parameters!$L$7:$P$30,MATCH(Calculation!M5,Parameters!$K$7:$K$30,0),MATCH(Calculation!L5,Parameters!$L$6:$P$6,0))</f>
        <v>RC1</v>
      </c>
      <c r="O5">
        <f>VLOOKUP(L5,Parameters!$BT$7:$BU$11,2,FALSE)</f>
        <v>0.6</v>
      </c>
      <c r="P5" s="73">
        <f>VLOOKUP(M5,Parameters!$AN$7:$AO$30,2,FALSE)</f>
        <v>0.21410000000000001</v>
      </c>
      <c r="Q5">
        <f>VLOOKUP(R5,Parameters!$AR$7:$BO$27,24,FALSE)</f>
        <v>5</v>
      </c>
      <c r="R5" t="str">
        <f>Results!$C$4&amp;Calculation!N5</f>
        <v>Event 1RC1</v>
      </c>
      <c r="S5" s="81">
        <f>VLOOKUP(R5,Parameters!$AR$7:$BP$27,25,FALSE)</f>
        <v>5.67E-2</v>
      </c>
      <c r="T5" s="18">
        <f>VLOOKUP(D5,Parameters!$C$14:$D$17,2,FALSE)</f>
        <v>1</v>
      </c>
      <c r="U5">
        <f>VLOOKUP(M5,Parameters!$BW$34:$BX$57,2,FALSE)</f>
        <v>1</v>
      </c>
      <c r="V5" s="73">
        <f>U5*T5*S5</f>
        <v>5.67E-2</v>
      </c>
      <c r="W5" s="73">
        <f>V5*Parameters!$AC$7</f>
        <v>1.1340000000000001E-2</v>
      </c>
      <c r="X5" s="73">
        <f>(VLOOKUP(R5,Parameters!$AR$7:$BC$27,7,FALSE)-VLOOKUP(R5,Parameters!$AR$7:$BC$27,12,FALSE))*T5*U5</f>
        <v>1.7999999999999988E-2</v>
      </c>
      <c r="Y5" s="73">
        <f>(VLOOKUP(R5,Parameters!$AR$7:$BM$27,12,FALSE)-VLOOKUP(R5,Parameters!$AR$7:$BM$27,17,FALSE))*T5*U5</f>
        <v>8.1000000000000003E-2</v>
      </c>
      <c r="Z5" s="73">
        <f>(VLOOKUP(R5,Parameters!$AR$7:$BM$27,17,FALSE)-VLOOKUP(R5,Parameters!$AR$7:$BM$27,22,FALSE))*T5*U5</f>
        <v>2.4300000000000002E-2</v>
      </c>
      <c r="AA5" s="51">
        <f>INDEX(Parameters!$AG$7:$AK$30,MATCH(Calculation!M5,Parameters!$AF$7:$AF$30,0),MATCH(Calculation!L5,Parameters!$AG$6:$AK$6,0))</f>
        <v>25000000</v>
      </c>
      <c r="AB5" s="73">
        <f>VLOOKUP(R5,Parameters!$AR$7:$BR$27,26,FALSE)</f>
        <v>1.3087315556646217</v>
      </c>
      <c r="AC5" s="73">
        <f>VLOOKUP(R5,Parameters!$AR$7:$BR$27,27,FALSE)</f>
        <v>0.77550803576684968</v>
      </c>
      <c r="AD5" s="20">
        <f>MIN($F5,MAX(0,_xlfn.LOGNORM.INV(AD$4,$AB5,$AC5)*$I5/365*$P5*$O5+$AA5-$G5-$H5))</f>
        <v>0</v>
      </c>
      <c r="AE5" s="20">
        <f t="shared" ref="AE5:AX17" si="0">MIN($F5,MAX(0,_xlfn.LOGNORM.INV(AE$4,$AB5,$AC5)*$I5/365*$P5*$O5+$AA5-$G5-$H5))</f>
        <v>0</v>
      </c>
      <c r="AF5" s="20">
        <f t="shared" si="0"/>
        <v>0</v>
      </c>
      <c r="AG5" s="20">
        <f t="shared" si="0"/>
        <v>0</v>
      </c>
      <c r="AH5" s="20">
        <f t="shared" si="0"/>
        <v>0</v>
      </c>
      <c r="AI5" s="20">
        <f t="shared" si="0"/>
        <v>0</v>
      </c>
      <c r="AJ5" s="20">
        <f t="shared" si="0"/>
        <v>0</v>
      </c>
      <c r="AK5" s="20">
        <f t="shared" si="0"/>
        <v>8108252.73692137</v>
      </c>
      <c r="AL5" s="20">
        <f t="shared" si="0"/>
        <v>60171447.413436413</v>
      </c>
      <c r="AM5" s="20">
        <f t="shared" si="0"/>
        <v>100000000</v>
      </c>
      <c r="AN5" s="20">
        <f t="shared" si="0"/>
        <v>100000000</v>
      </c>
      <c r="AO5" s="20">
        <f t="shared" si="0"/>
        <v>100000000</v>
      </c>
      <c r="AP5" s="20">
        <f t="shared" si="0"/>
        <v>100000000</v>
      </c>
      <c r="AQ5" s="20">
        <f t="shared" si="0"/>
        <v>100000000</v>
      </c>
      <c r="AR5" s="20">
        <f t="shared" si="0"/>
        <v>100000000</v>
      </c>
      <c r="AS5" s="20">
        <f t="shared" si="0"/>
        <v>100000000</v>
      </c>
      <c r="AT5" s="20">
        <f t="shared" si="0"/>
        <v>100000000</v>
      </c>
      <c r="AU5" s="20">
        <f t="shared" si="0"/>
        <v>100000000</v>
      </c>
      <c r="AV5" s="20">
        <f t="shared" si="0"/>
        <v>100000000</v>
      </c>
      <c r="AW5" s="20">
        <f t="shared" si="0"/>
        <v>100000000</v>
      </c>
      <c r="AX5" s="20">
        <f t="shared" si="0"/>
        <v>100000000</v>
      </c>
      <c r="AY5" s="20">
        <f>AVERAGE(AD5:AX5)</f>
        <v>60394271.435731322</v>
      </c>
      <c r="AZ5" s="53">
        <f>I5*O5*P5/365*Q5</f>
        <v>879863013.69863021</v>
      </c>
      <c r="BA5" s="15">
        <f>Parameters!$AC$8</f>
        <v>0.5</v>
      </c>
      <c r="BB5" s="20">
        <f>BA5*AZ5</f>
        <v>439931506.84931511</v>
      </c>
      <c r="BC5" s="7">
        <f t="shared" ref="BC5:BC24" si="1">MIN(J5,MAX(0,BB5-G5-H5))</f>
        <v>0</v>
      </c>
      <c r="BD5" s="51">
        <f>Parameters!$Y$7*Calculation!AA5</f>
        <v>12500000</v>
      </c>
      <c r="BE5" s="7">
        <f>Parameters!$Y$8*Calculation!AA5</f>
        <v>15000000</v>
      </c>
      <c r="BF5" s="7">
        <f>Parameters!$Y$9*Calculation!AA5</f>
        <v>17500000</v>
      </c>
      <c r="BG5" s="7">
        <f>MIN($F5,MAX(0,BD5-$G5-$H5))</f>
        <v>0</v>
      </c>
      <c r="BH5" s="7">
        <f t="shared" ref="BH5:BI5" si="2">MIN($F5,MAX(0,BE5-$G5-$H5))</f>
        <v>0</v>
      </c>
      <c r="BI5" s="7">
        <f t="shared" si="2"/>
        <v>0</v>
      </c>
      <c r="BJ5" s="53">
        <f t="shared" ref="BJ5:BJ24" si="3">AY5*V5*K5</f>
        <v>342435.51904059661</v>
      </c>
      <c r="BK5" s="20">
        <f t="shared" ref="BK5:BK24" si="4">BC5*W5*K5</f>
        <v>0</v>
      </c>
      <c r="BL5" s="20">
        <f t="shared" ref="BL5:BL24" si="5">(BG5*X5+Y5*BH5+BI5*Z5)*K5</f>
        <v>0</v>
      </c>
      <c r="BM5" s="20">
        <f>SUM(BJ5:BL5)</f>
        <v>342435.51904059661</v>
      </c>
      <c r="BO5" s="20"/>
      <c r="BS5" s="20"/>
      <c r="BT5" s="20"/>
      <c r="BU5" s="20"/>
    </row>
    <row r="6" spans="2:73" x14ac:dyDescent="0.2">
      <c r="B6" s="48">
        <v>2</v>
      </c>
      <c r="C6" s="48" t="s">
        <v>119</v>
      </c>
      <c r="D6" s="48" t="s">
        <v>41</v>
      </c>
      <c r="E6" s="48" t="s">
        <v>120</v>
      </c>
      <c r="F6" s="49">
        <v>50000000</v>
      </c>
      <c r="G6" s="49">
        <v>100000000</v>
      </c>
      <c r="H6" s="49"/>
      <c r="I6" s="49">
        <v>200000000000</v>
      </c>
      <c r="J6" s="49">
        <v>50000000</v>
      </c>
      <c r="K6" s="50">
        <v>1</v>
      </c>
      <c r="L6" s="52" t="str">
        <f>INDEX(Mapping!$F$3:$F$7,MATCH(Calculation!I6,Mapping!$G$2:$G$6,1))</f>
        <v>10b and above</v>
      </c>
      <c r="M6" t="str">
        <f>VLOOKUP(E6,Mapping!$I$3:$J$26,2,FALSE)</f>
        <v>2 Retail</v>
      </c>
      <c r="N6" t="str">
        <f>INDEX(Parameters!$L$7:$P$30,MATCH(Calculation!M6,Parameters!$K$7:$K$30,0),MATCH(Calculation!L6,Parameters!$L$6:$P$6,0))</f>
        <v>RC2</v>
      </c>
      <c r="O6">
        <f>VLOOKUP(L6,Parameters!$BT$7:$BU$11,2,FALSE)</f>
        <v>0.6</v>
      </c>
      <c r="P6" s="73">
        <f>VLOOKUP(M6,Parameters!$AN$7:$AO$30,2,FALSE)</f>
        <v>0.27731428571428574</v>
      </c>
      <c r="Q6">
        <f>VLOOKUP(R6,Parameters!$AR$7:$BO$27,24,FALSE)</f>
        <v>5</v>
      </c>
      <c r="R6" t="str">
        <f>Results!$C$4&amp;Calculation!N6</f>
        <v>Event 1RC2</v>
      </c>
      <c r="S6" s="81">
        <f>VLOOKUP(R6,Parameters!$AR$7:$BP$27,25,FALSE)</f>
        <v>6.7452000000000012E-2</v>
      </c>
      <c r="T6" s="18">
        <f>VLOOKUP(D6,Parameters!$C$14:$D$17,2,FALSE)</f>
        <v>1</v>
      </c>
      <c r="U6">
        <f>VLOOKUP(M6,Parameters!$BW$34:$BX$57,2,FALSE)</f>
        <v>1</v>
      </c>
      <c r="V6" s="73">
        <f t="shared" ref="V6:V24" si="6">U6*T6*S6</f>
        <v>6.7452000000000012E-2</v>
      </c>
      <c r="W6" s="73">
        <f>V6*Parameters!$AC$7</f>
        <v>1.3490400000000003E-2</v>
      </c>
      <c r="X6" s="73">
        <f>(VLOOKUP(R6,Parameters!$AR$7:$BC$27,7,FALSE)-VLOOKUP(R6,Parameters!$AR$7:$BC$27,12,FALSE))*T6*U6</f>
        <v>1.4999999999999986E-2</v>
      </c>
      <c r="Y6" s="73">
        <f>(VLOOKUP(R6,Parameters!$AR$7:$BM$27,12,FALSE)-VLOOKUP(R6,Parameters!$AR$7:$BM$27,17,FALSE))*T6*U6</f>
        <v>7.2599999999999998E-2</v>
      </c>
      <c r="Z6" s="73">
        <f>(VLOOKUP(R6,Parameters!$AR$7:$BM$27,17,FALSE)-VLOOKUP(R6,Parameters!$AR$7:$BM$27,22,FALSE))*T6*U6</f>
        <v>2.4947999999999998E-2</v>
      </c>
      <c r="AA6" s="51">
        <f>INDEX(Parameters!$AG$7:$AK$30,MATCH(Calculation!M6,Parameters!$AF$7:$AF$30,0),MATCH(Calculation!L6,Parameters!$AG$6:$AK$6,0))</f>
        <v>25000000</v>
      </c>
      <c r="AB6" s="73">
        <f>VLOOKUP(R6,Parameters!$AR$7:$BR$27,26,FALSE)</f>
        <v>1.3087315556646217</v>
      </c>
      <c r="AC6" s="73">
        <f>VLOOKUP(R6,Parameters!$AR$7:$BR$27,27,FALSE)</f>
        <v>0.77550803576684968</v>
      </c>
      <c r="AD6" s="20">
        <f t="shared" ref="AD6:AS24" si="7">MIN($F6,MAX(0,_xlfn.LOGNORM.INV(AD$4,$AB6,$AC6)*$I6/365*$P6*$O6+$AA6-$G6-$H6))</f>
        <v>3484947.6405180842</v>
      </c>
      <c r="AE6" s="20">
        <f t="shared" si="0"/>
        <v>19243344.455581963</v>
      </c>
      <c r="AF6" s="20">
        <f t="shared" si="0"/>
        <v>49913797.075973809</v>
      </c>
      <c r="AG6" s="20">
        <f t="shared" si="0"/>
        <v>50000000</v>
      </c>
      <c r="AH6" s="20">
        <f t="shared" si="0"/>
        <v>50000000</v>
      </c>
      <c r="AI6" s="20">
        <f t="shared" si="0"/>
        <v>50000000</v>
      </c>
      <c r="AJ6" s="20">
        <f t="shared" si="0"/>
        <v>50000000</v>
      </c>
      <c r="AK6" s="20">
        <f t="shared" si="0"/>
        <v>50000000</v>
      </c>
      <c r="AL6" s="20">
        <f t="shared" si="0"/>
        <v>50000000</v>
      </c>
      <c r="AM6" s="20">
        <f t="shared" si="0"/>
        <v>50000000</v>
      </c>
      <c r="AN6" s="20">
        <f t="shared" si="0"/>
        <v>50000000</v>
      </c>
      <c r="AO6" s="20">
        <f t="shared" si="0"/>
        <v>50000000</v>
      </c>
      <c r="AP6" s="20">
        <f t="shared" si="0"/>
        <v>50000000</v>
      </c>
      <c r="AQ6" s="20">
        <f t="shared" si="0"/>
        <v>50000000</v>
      </c>
      <c r="AR6" s="20">
        <f t="shared" si="0"/>
        <v>50000000</v>
      </c>
      <c r="AS6" s="20">
        <f t="shared" si="0"/>
        <v>50000000</v>
      </c>
      <c r="AT6" s="20">
        <f t="shared" si="0"/>
        <v>50000000</v>
      </c>
      <c r="AU6" s="20">
        <f t="shared" si="0"/>
        <v>50000000</v>
      </c>
      <c r="AV6" s="20">
        <f t="shared" si="0"/>
        <v>50000000</v>
      </c>
      <c r="AW6" s="20">
        <f t="shared" si="0"/>
        <v>50000000</v>
      </c>
      <c r="AX6" s="20">
        <f t="shared" si="0"/>
        <v>50000000</v>
      </c>
      <c r="AY6" s="20">
        <f t="shared" ref="AY6:AY24" si="8">AVERAGE(AD6:AX6)</f>
        <v>46316289.960574947</v>
      </c>
      <c r="AZ6" s="53">
        <f t="shared" ref="AZ6:AZ24" si="9">I6*O6*P6/365*Q6</f>
        <v>455859099.80430532</v>
      </c>
      <c r="BA6" s="15">
        <f>Parameters!$AC$8</f>
        <v>0.5</v>
      </c>
      <c r="BB6" s="20">
        <f t="shared" ref="BB6:BB24" si="10">BA6*AZ6</f>
        <v>227929549.90215266</v>
      </c>
      <c r="BC6" s="7">
        <f t="shared" si="1"/>
        <v>50000000</v>
      </c>
      <c r="BD6" s="51">
        <f>Parameters!$Y$7*Calculation!AA6</f>
        <v>12500000</v>
      </c>
      <c r="BE6" s="7">
        <f>Parameters!$Y$8*Calculation!AA6</f>
        <v>15000000</v>
      </c>
      <c r="BF6" s="7">
        <f>Parameters!$Y$9*Calculation!AA6</f>
        <v>17500000</v>
      </c>
      <c r="BG6" s="7">
        <f t="shared" ref="BG6:BG24" si="11">MIN($F6,MAX(0,BD6-$G6-$H6))</f>
        <v>0</v>
      </c>
      <c r="BH6" s="7">
        <f t="shared" ref="BH6:BH24" si="12">MIN($F6,MAX(0,BE6-$G6-$H6))</f>
        <v>0</v>
      </c>
      <c r="BI6" s="7">
        <f t="shared" ref="BI6:BI24" si="13">MIN($F6,MAX(0,BF6-$G6-$H6))</f>
        <v>0</v>
      </c>
      <c r="BJ6" s="53">
        <f t="shared" si="3"/>
        <v>3124126.3904207018</v>
      </c>
      <c r="BK6" s="20">
        <f t="shared" si="4"/>
        <v>674520.00000000012</v>
      </c>
      <c r="BL6" s="20">
        <f t="shared" si="5"/>
        <v>0</v>
      </c>
      <c r="BM6" s="20">
        <f t="shared" ref="BM6:BM24" si="14">SUM(BJ6:BL6)</f>
        <v>3798646.3904207018</v>
      </c>
      <c r="BO6" s="20"/>
      <c r="BS6" s="20"/>
      <c r="BT6" s="20"/>
      <c r="BU6" s="20"/>
    </row>
    <row r="7" spans="2:73" x14ac:dyDescent="0.2">
      <c r="B7" s="48">
        <v>3</v>
      </c>
      <c r="C7" s="48" t="s">
        <v>121</v>
      </c>
      <c r="D7" s="48" t="s">
        <v>41</v>
      </c>
      <c r="E7" s="48" t="s">
        <v>122</v>
      </c>
      <c r="F7" s="49">
        <v>50000000</v>
      </c>
      <c r="G7" s="49"/>
      <c r="H7" s="49">
        <v>10000000</v>
      </c>
      <c r="I7" s="49">
        <v>100000000000</v>
      </c>
      <c r="J7" s="49">
        <v>50000000</v>
      </c>
      <c r="K7" s="50">
        <v>0.5</v>
      </c>
      <c r="L7" s="52" t="str">
        <f>INDEX(Mapping!$F$3:$F$7,MATCH(Calculation!I7,Mapping!$G$2:$G$6,1))</f>
        <v>10b and above</v>
      </c>
      <c r="M7" t="str">
        <f>VLOOKUP(E7,Mapping!$I$3:$J$26,2,FALSE)</f>
        <v>3.1 Finance - Banking</v>
      </c>
      <c r="N7" t="str">
        <f>INDEX(Parameters!$L$7:$P$30,MATCH(Calculation!M7,Parameters!$K$7:$K$30,0),MATCH(Calculation!L7,Parameters!$L$6:$P$6,0))</f>
        <v>RC1</v>
      </c>
      <c r="O7">
        <f>VLOOKUP(L7,Parameters!$BT$7:$BU$11,2,FALSE)</f>
        <v>0.6</v>
      </c>
      <c r="P7" s="73">
        <f>VLOOKUP(M7,Parameters!$AN$7:$AO$30,2,FALSE)</f>
        <v>0.99860000000000004</v>
      </c>
      <c r="Q7">
        <f>VLOOKUP(R7,Parameters!$AR$7:$BO$27,24,FALSE)</f>
        <v>5</v>
      </c>
      <c r="R7" t="str">
        <f>Results!$C$4&amp;Calculation!N7</f>
        <v>Event 1RC1</v>
      </c>
      <c r="S7" s="81">
        <f>VLOOKUP(R7,Parameters!$AR$7:$BP$27,25,FALSE)</f>
        <v>5.67E-2</v>
      </c>
      <c r="T7" s="18">
        <f>VLOOKUP(D7,Parameters!$C$14:$D$17,2,FALSE)</f>
        <v>1</v>
      </c>
      <c r="U7">
        <f>VLOOKUP(M7,Parameters!$BW$34:$BX$57,2,FALSE)</f>
        <v>1</v>
      </c>
      <c r="V7" s="73">
        <f t="shared" si="6"/>
        <v>5.67E-2</v>
      </c>
      <c r="W7" s="73">
        <f>V7*Parameters!$AC$7</f>
        <v>1.1340000000000001E-2</v>
      </c>
      <c r="X7" s="73">
        <f>(VLOOKUP(R7,Parameters!$AR$7:$BC$27,7,FALSE)-VLOOKUP(R7,Parameters!$AR$7:$BC$27,12,FALSE))*T7*U7</f>
        <v>1.7999999999999988E-2</v>
      </c>
      <c r="Y7" s="73">
        <f>(VLOOKUP(R7,Parameters!$AR$7:$BM$27,12,FALSE)-VLOOKUP(R7,Parameters!$AR$7:$BM$27,17,FALSE))*T7*U7</f>
        <v>8.1000000000000003E-2</v>
      </c>
      <c r="Z7" s="73">
        <f>(VLOOKUP(R7,Parameters!$AR$7:$BM$27,17,FALSE)-VLOOKUP(R7,Parameters!$AR$7:$BM$27,22,FALSE))*T7*U7</f>
        <v>2.4300000000000002E-2</v>
      </c>
      <c r="AA7" s="51">
        <f>INDEX(Parameters!$AG$7:$AK$30,MATCH(Calculation!M7,Parameters!$AF$7:$AF$30,0),MATCH(Calculation!L7,Parameters!$AG$6:$AK$6,0))</f>
        <v>25000000</v>
      </c>
      <c r="AB7" s="73">
        <f>VLOOKUP(R7,Parameters!$AR$7:$BR$27,26,FALSE)</f>
        <v>1.3087315556646217</v>
      </c>
      <c r="AC7" s="73">
        <f>VLOOKUP(R7,Parameters!$AR$7:$BR$27,27,FALSE)</f>
        <v>0.77550803576684968</v>
      </c>
      <c r="AD7" s="20">
        <f t="shared" si="7"/>
        <v>50000000</v>
      </c>
      <c r="AE7" s="20">
        <f t="shared" si="0"/>
        <v>50000000</v>
      </c>
      <c r="AF7" s="20">
        <f t="shared" si="0"/>
        <v>50000000</v>
      </c>
      <c r="AG7" s="20">
        <f t="shared" si="0"/>
        <v>50000000</v>
      </c>
      <c r="AH7" s="20">
        <f t="shared" si="0"/>
        <v>50000000</v>
      </c>
      <c r="AI7" s="20">
        <f t="shared" si="0"/>
        <v>50000000</v>
      </c>
      <c r="AJ7" s="20">
        <f t="shared" si="0"/>
        <v>50000000</v>
      </c>
      <c r="AK7" s="20">
        <f t="shared" si="0"/>
        <v>50000000</v>
      </c>
      <c r="AL7" s="20">
        <f t="shared" si="0"/>
        <v>50000000</v>
      </c>
      <c r="AM7" s="20">
        <f t="shared" si="0"/>
        <v>50000000</v>
      </c>
      <c r="AN7" s="20">
        <f t="shared" si="0"/>
        <v>50000000</v>
      </c>
      <c r="AO7" s="20">
        <f t="shared" si="0"/>
        <v>50000000</v>
      </c>
      <c r="AP7" s="20">
        <f t="shared" si="0"/>
        <v>50000000</v>
      </c>
      <c r="AQ7" s="20">
        <f t="shared" si="0"/>
        <v>50000000</v>
      </c>
      <c r="AR7" s="20">
        <f t="shared" si="0"/>
        <v>50000000</v>
      </c>
      <c r="AS7" s="20">
        <f t="shared" si="0"/>
        <v>50000000</v>
      </c>
      <c r="AT7" s="20">
        <f t="shared" si="0"/>
        <v>50000000</v>
      </c>
      <c r="AU7" s="20">
        <f t="shared" si="0"/>
        <v>50000000</v>
      </c>
      <c r="AV7" s="20">
        <f t="shared" si="0"/>
        <v>50000000</v>
      </c>
      <c r="AW7" s="20">
        <f t="shared" si="0"/>
        <v>50000000</v>
      </c>
      <c r="AX7" s="20">
        <f t="shared" si="0"/>
        <v>50000000</v>
      </c>
      <c r="AY7" s="20">
        <f t="shared" si="8"/>
        <v>50000000</v>
      </c>
      <c r="AZ7" s="53">
        <f t="shared" si="9"/>
        <v>820767123.28767121</v>
      </c>
      <c r="BA7" s="15">
        <f>Parameters!$AC$8</f>
        <v>0.5</v>
      </c>
      <c r="BB7" s="20">
        <f t="shared" si="10"/>
        <v>410383561.6438356</v>
      </c>
      <c r="BC7" s="7">
        <f t="shared" si="1"/>
        <v>50000000</v>
      </c>
      <c r="BD7" s="51">
        <f>Parameters!$Y$7*Calculation!AA7</f>
        <v>12500000</v>
      </c>
      <c r="BE7" s="7">
        <f>Parameters!$Y$8*Calculation!AA7</f>
        <v>15000000</v>
      </c>
      <c r="BF7" s="7">
        <f>Parameters!$Y$9*Calculation!AA7</f>
        <v>17500000</v>
      </c>
      <c r="BG7" s="7">
        <f t="shared" si="11"/>
        <v>2500000</v>
      </c>
      <c r="BH7" s="7">
        <f t="shared" si="12"/>
        <v>5000000</v>
      </c>
      <c r="BI7" s="7">
        <f t="shared" si="13"/>
        <v>7500000</v>
      </c>
      <c r="BJ7" s="53">
        <f t="shared" si="3"/>
        <v>1417500</v>
      </c>
      <c r="BK7" s="20">
        <f t="shared" si="4"/>
        <v>283500</v>
      </c>
      <c r="BL7" s="20">
        <f t="shared" si="5"/>
        <v>316125</v>
      </c>
      <c r="BM7" s="20">
        <f t="shared" si="14"/>
        <v>2017125</v>
      </c>
      <c r="BO7" s="20"/>
      <c r="BS7" s="20"/>
      <c r="BT7" s="20"/>
      <c r="BU7" s="20"/>
    </row>
    <row r="8" spans="2:73" x14ac:dyDescent="0.2">
      <c r="B8" s="48">
        <v>4</v>
      </c>
      <c r="C8" s="48" t="s">
        <v>123</v>
      </c>
      <c r="D8" s="48" t="s">
        <v>41</v>
      </c>
      <c r="E8" s="48" t="s">
        <v>124</v>
      </c>
      <c r="F8" s="49">
        <v>10000000</v>
      </c>
      <c r="G8" s="49">
        <v>10000000</v>
      </c>
      <c r="H8" s="49"/>
      <c r="I8" s="49">
        <v>500000000</v>
      </c>
      <c r="J8" s="49">
        <v>10000000</v>
      </c>
      <c r="K8" s="50">
        <v>1</v>
      </c>
      <c r="L8" s="52" t="str">
        <f>INDEX(Mapping!$F$3:$F$7,MATCH(Calculation!I8,Mapping!$G$2:$G$6,1))</f>
        <v>100m-1000m</v>
      </c>
      <c r="M8" t="str">
        <f>VLOOKUP(E8,Mapping!$I$3:$J$26,2,FALSE)</f>
        <v>3.2 Finance - Insurance</v>
      </c>
      <c r="N8" t="str">
        <f>INDEX(Parameters!$L$7:$P$30,MATCH(Calculation!M8,Parameters!$K$7:$K$30,0),MATCH(Calculation!L8,Parameters!$L$6:$P$6,0))</f>
        <v>RC4</v>
      </c>
      <c r="O8">
        <f>VLOOKUP(L8,Parameters!$BT$7:$BU$11,2,FALSE)</f>
        <v>0.75</v>
      </c>
      <c r="P8" s="73">
        <f>VLOOKUP(M8,Parameters!$AN$7:$AO$30,2,FALSE)</f>
        <v>0.23577500000000001</v>
      </c>
      <c r="Q8">
        <f>VLOOKUP(R8,Parameters!$AR$7:$BO$27,24,FALSE)</f>
        <v>9</v>
      </c>
      <c r="R8" t="str">
        <f>Results!$C$4&amp;Calculation!N8</f>
        <v>Event 1RC4</v>
      </c>
      <c r="S8" s="81">
        <f>VLOOKUP(R8,Parameters!$AR$7:$BP$27,25,FALSE)</f>
        <v>6.8217599999999989E-2</v>
      </c>
      <c r="T8" s="18">
        <f>VLOOKUP(D8,Parameters!$C$14:$D$17,2,FALSE)</f>
        <v>1</v>
      </c>
      <c r="U8">
        <f>VLOOKUP(M8,Parameters!$BW$34:$BX$57,2,FALSE)</f>
        <v>1</v>
      </c>
      <c r="V8" s="73">
        <f t="shared" si="6"/>
        <v>6.8217599999999989E-2</v>
      </c>
      <c r="W8" s="73">
        <f>V8*Parameters!$AC$7</f>
        <v>1.3643519999999999E-2</v>
      </c>
      <c r="X8" s="73">
        <f>(VLOOKUP(R8,Parameters!$AR$7:$BC$27,7,FALSE)-VLOOKUP(R8,Parameters!$AR$7:$BC$27,12,FALSE))*T8*U8</f>
        <v>6.5999999999999948E-3</v>
      </c>
      <c r="Y8" s="73">
        <f>(VLOOKUP(R8,Parameters!$AR$7:$BM$27,12,FALSE)-VLOOKUP(R8,Parameters!$AR$7:$BM$27,17,FALSE))*T8*U8</f>
        <v>4.0127999999999983E-2</v>
      </c>
      <c r="Z8" s="73">
        <f>(VLOOKUP(R8,Parameters!$AR$7:$BM$27,17,FALSE)-VLOOKUP(R8,Parameters!$AR$7:$BM$27,22,FALSE))*T8*U8</f>
        <v>1.7054399999999997E-2</v>
      </c>
      <c r="AA8" s="51">
        <f>INDEX(Parameters!$AG$7:$AK$30,MATCH(Calculation!M8,Parameters!$AF$7:$AF$30,0),MATCH(Calculation!L8,Parameters!$AG$6:$AK$6,0))</f>
        <v>1000000</v>
      </c>
      <c r="AB8" s="73">
        <f>VLOOKUP(R8,Parameters!$AR$7:$BR$27,26,FALSE)</f>
        <v>1.8965182205667419</v>
      </c>
      <c r="AC8" s="73">
        <f>VLOOKUP(R8,Parameters!$AR$7:$BR$27,27,FALSE)</f>
        <v>0.77550803576684835</v>
      </c>
      <c r="AD8" s="20">
        <f t="shared" si="7"/>
        <v>0</v>
      </c>
      <c r="AE8" s="20">
        <f t="shared" si="0"/>
        <v>0</v>
      </c>
      <c r="AF8" s="20">
        <f t="shared" si="0"/>
        <v>0</v>
      </c>
      <c r="AG8" s="20">
        <f t="shared" si="0"/>
        <v>0</v>
      </c>
      <c r="AH8" s="20">
        <f t="shared" si="0"/>
        <v>0</v>
      </c>
      <c r="AI8" s="20">
        <f t="shared" si="0"/>
        <v>0</v>
      </c>
      <c r="AJ8" s="20">
        <f t="shared" si="0"/>
        <v>0</v>
      </c>
      <c r="AK8" s="20">
        <f t="shared" si="0"/>
        <v>0</v>
      </c>
      <c r="AL8" s="20">
        <f t="shared" si="0"/>
        <v>0</v>
      </c>
      <c r="AM8" s="20">
        <f t="shared" si="0"/>
        <v>0</v>
      </c>
      <c r="AN8" s="20">
        <f t="shared" si="0"/>
        <v>0</v>
      </c>
      <c r="AO8" s="20">
        <f t="shared" si="0"/>
        <v>0</v>
      </c>
      <c r="AP8" s="20">
        <f t="shared" si="0"/>
        <v>0</v>
      </c>
      <c r="AQ8" s="20">
        <f t="shared" si="0"/>
        <v>0</v>
      </c>
      <c r="AR8" s="20">
        <f t="shared" si="0"/>
        <v>0</v>
      </c>
      <c r="AS8" s="20">
        <f t="shared" si="0"/>
        <v>0</v>
      </c>
      <c r="AT8" s="20">
        <f t="shared" si="0"/>
        <v>0</v>
      </c>
      <c r="AU8" s="20">
        <f t="shared" si="0"/>
        <v>0</v>
      </c>
      <c r="AV8" s="20">
        <f t="shared" si="0"/>
        <v>0</v>
      </c>
      <c r="AW8" s="20">
        <f t="shared" si="0"/>
        <v>0</v>
      </c>
      <c r="AX8" s="20">
        <f t="shared" si="0"/>
        <v>0</v>
      </c>
      <c r="AY8" s="20">
        <f t="shared" si="8"/>
        <v>0</v>
      </c>
      <c r="AZ8" s="53">
        <f t="shared" si="9"/>
        <v>2180111.3013698631</v>
      </c>
      <c r="BA8" s="15">
        <f>Parameters!$AC$8</f>
        <v>0.5</v>
      </c>
      <c r="BB8" s="20">
        <f t="shared" si="10"/>
        <v>1090055.6506849315</v>
      </c>
      <c r="BC8" s="7">
        <f t="shared" si="1"/>
        <v>0</v>
      </c>
      <c r="BD8" s="51">
        <f>Parameters!$Y$7*Calculation!AA8</f>
        <v>500000</v>
      </c>
      <c r="BE8" s="7">
        <f>Parameters!$Y$8*Calculation!AA8</f>
        <v>600000</v>
      </c>
      <c r="BF8" s="7">
        <f>Parameters!$Y$9*Calculation!AA8</f>
        <v>700000</v>
      </c>
      <c r="BG8" s="7">
        <f t="shared" si="11"/>
        <v>0</v>
      </c>
      <c r="BH8" s="7">
        <f t="shared" si="12"/>
        <v>0</v>
      </c>
      <c r="BI8" s="7">
        <f t="shared" si="13"/>
        <v>0</v>
      </c>
      <c r="BJ8" s="53">
        <f t="shared" si="3"/>
        <v>0</v>
      </c>
      <c r="BK8" s="20">
        <f t="shared" si="4"/>
        <v>0</v>
      </c>
      <c r="BL8" s="20">
        <f t="shared" si="5"/>
        <v>0</v>
      </c>
      <c r="BM8" s="20">
        <f t="shared" si="14"/>
        <v>0</v>
      </c>
      <c r="BO8" s="20"/>
      <c r="BS8" s="20"/>
      <c r="BT8" s="20"/>
      <c r="BU8" s="20"/>
    </row>
    <row r="9" spans="2:73" x14ac:dyDescent="0.2">
      <c r="B9" s="48">
        <v>5</v>
      </c>
      <c r="C9" s="48" t="s">
        <v>125</v>
      </c>
      <c r="D9" s="48" t="s">
        <v>41</v>
      </c>
      <c r="E9" s="48" t="s">
        <v>126</v>
      </c>
      <c r="F9" s="49">
        <v>20000000</v>
      </c>
      <c r="G9" s="49"/>
      <c r="H9" s="49">
        <v>1000000</v>
      </c>
      <c r="I9" s="49">
        <v>400000000</v>
      </c>
      <c r="J9" s="49">
        <v>20000000</v>
      </c>
      <c r="K9" s="50">
        <v>0.25</v>
      </c>
      <c r="L9" s="52" t="str">
        <f>INDEX(Mapping!$F$3:$F$7,MATCH(Calculation!I9,Mapping!$G$2:$G$6,1))</f>
        <v>100m-1000m</v>
      </c>
      <c r="M9" t="str">
        <f>VLOOKUP(E9,Mapping!$I$3:$J$26,2,FALSE)</f>
        <v>3.3 Finance - Investment management</v>
      </c>
      <c r="N9" t="str">
        <f>INDEX(Parameters!$L$7:$P$30,MATCH(Calculation!M9,Parameters!$K$7:$K$30,0),MATCH(Calculation!L9,Parameters!$L$6:$P$6,0))</f>
        <v>RC3</v>
      </c>
      <c r="O9">
        <f>VLOOKUP(L9,Parameters!$BT$7:$BU$11,2,FALSE)</f>
        <v>0.75</v>
      </c>
      <c r="P9" s="73">
        <f>VLOOKUP(M9,Parameters!$AN$7:$AO$30,2,FALSE)</f>
        <v>0.56479999999999997</v>
      </c>
      <c r="Q9">
        <f>VLOOKUP(R9,Parameters!$AR$7:$BO$27,24,FALSE)</f>
        <v>7</v>
      </c>
      <c r="R9" t="str">
        <f>Results!$C$4&amp;Calculation!N9</f>
        <v>Event 1RC3</v>
      </c>
      <c r="S9" s="81">
        <f>VLOOKUP(R9,Parameters!$AR$7:$BP$27,25,FALSE)</f>
        <v>6.9509439999999978E-2</v>
      </c>
      <c r="T9" s="18">
        <f>VLOOKUP(D9,Parameters!$C$14:$D$17,2,FALSE)</f>
        <v>1</v>
      </c>
      <c r="U9">
        <f>VLOOKUP(M9,Parameters!$BW$34:$BX$57,2,FALSE)</f>
        <v>1</v>
      </c>
      <c r="V9" s="73">
        <f t="shared" si="6"/>
        <v>6.9509439999999978E-2</v>
      </c>
      <c r="W9" s="73">
        <f>V9*Parameters!$AC$7</f>
        <v>1.3901887999999996E-2</v>
      </c>
      <c r="X9" s="73">
        <f>(VLOOKUP(R9,Parameters!$AR$7:$BC$27,7,FALSE)-VLOOKUP(R9,Parameters!$AR$7:$BC$27,12,FALSE))*T9*U9</f>
        <v>1.0399999999999993E-2</v>
      </c>
      <c r="Y9" s="73">
        <f>(VLOOKUP(R9,Parameters!$AR$7:$BM$27,12,FALSE)-VLOOKUP(R9,Parameters!$AR$7:$BM$27,17,FALSE))*T9*U9</f>
        <v>5.5327999999999988E-2</v>
      </c>
      <c r="Z9" s="73">
        <f>(VLOOKUP(R9,Parameters!$AR$7:$BM$27,17,FALSE)-VLOOKUP(R9,Parameters!$AR$7:$BM$27,22,FALSE))*T9*U9</f>
        <v>2.0762559999999999E-2</v>
      </c>
      <c r="AA9" s="51">
        <f>INDEX(Parameters!$AG$7:$AK$30,MATCH(Calculation!M9,Parameters!$AF$7:$AF$30,0),MATCH(Calculation!L9,Parameters!$AG$6:$AK$6,0))</f>
        <v>1000000</v>
      </c>
      <c r="AB9" s="73">
        <f>VLOOKUP(R9,Parameters!$AR$7:$BR$27,26,FALSE)</f>
        <v>1.6452037922858351</v>
      </c>
      <c r="AC9" s="73">
        <f>VLOOKUP(R9,Parameters!$AR$7:$BR$27,27,FALSE)</f>
        <v>0.77550803576684879</v>
      </c>
      <c r="AD9" s="20">
        <f t="shared" si="7"/>
        <v>559470.07596869743</v>
      </c>
      <c r="AE9" s="20">
        <f t="shared" si="0"/>
        <v>671801.82528259</v>
      </c>
      <c r="AF9" s="20">
        <f t="shared" si="0"/>
        <v>890432.28849088075</v>
      </c>
      <c r="AG9" s="20">
        <f t="shared" si="0"/>
        <v>1076852.9998481858</v>
      </c>
      <c r="AH9" s="20">
        <f t="shared" si="0"/>
        <v>1252474.6206890047</v>
      </c>
      <c r="AI9" s="20">
        <f t="shared" si="0"/>
        <v>1425800.0563698779</v>
      </c>
      <c r="AJ9" s="20">
        <f t="shared" si="0"/>
        <v>1601800.8202558067</v>
      </c>
      <c r="AK9" s="20">
        <f t="shared" si="0"/>
        <v>1784228.6669973796</v>
      </c>
      <c r="AL9" s="20">
        <f t="shared" si="0"/>
        <v>1976509.8874299522</v>
      </c>
      <c r="AM9" s="20">
        <f t="shared" si="0"/>
        <v>2182244.5043413918</v>
      </c>
      <c r="AN9" s="20">
        <f t="shared" si="0"/>
        <v>2405614.3563370965</v>
      </c>
      <c r="AO9" s="20">
        <f t="shared" si="0"/>
        <v>2651847.8657650109</v>
      </c>
      <c r="AP9" s="20">
        <f t="shared" si="0"/>
        <v>2927878.3112691287</v>
      </c>
      <c r="AQ9" s="20">
        <f t="shared" si="0"/>
        <v>3243407.3829526938</v>
      </c>
      <c r="AR9" s="20">
        <f t="shared" si="0"/>
        <v>3612796.5214120476</v>
      </c>
      <c r="AS9" s="20">
        <f t="shared" si="0"/>
        <v>4058760.1365011428</v>
      </c>
      <c r="AT9" s="20">
        <f t="shared" si="0"/>
        <v>4620437.2813811116</v>
      </c>
      <c r="AU9" s="20">
        <f t="shared" si="0"/>
        <v>5373974.379261598</v>
      </c>
      <c r="AV9" s="20">
        <f t="shared" si="0"/>
        <v>6499068.4931506841</v>
      </c>
      <c r="AW9" s="20">
        <f t="shared" si="0"/>
        <v>8614118.3510194775</v>
      </c>
      <c r="AX9" s="20">
        <f t="shared" si="0"/>
        <v>10343681.780290473</v>
      </c>
      <c r="AY9" s="20">
        <f t="shared" si="8"/>
        <v>3227295.2669054396</v>
      </c>
      <c r="AZ9" s="53">
        <f t="shared" si="9"/>
        <v>3249534.2465753425</v>
      </c>
      <c r="BA9" s="15">
        <f>Parameters!$AC$8</f>
        <v>0.5</v>
      </c>
      <c r="BB9" s="20">
        <f t="shared" si="10"/>
        <v>1624767.1232876712</v>
      </c>
      <c r="BC9" s="7">
        <f t="shared" si="1"/>
        <v>624767.12328767125</v>
      </c>
      <c r="BD9" s="51">
        <f>Parameters!$Y$7*Calculation!AA9</f>
        <v>500000</v>
      </c>
      <c r="BE9" s="7">
        <f>Parameters!$Y$8*Calculation!AA9</f>
        <v>600000</v>
      </c>
      <c r="BF9" s="7">
        <f>Parameters!$Y$9*Calculation!AA9</f>
        <v>700000</v>
      </c>
      <c r="BG9" s="7">
        <f t="shared" si="11"/>
        <v>0</v>
      </c>
      <c r="BH9" s="7">
        <f t="shared" si="12"/>
        <v>0</v>
      </c>
      <c r="BI9" s="7">
        <f t="shared" si="13"/>
        <v>0</v>
      </c>
      <c r="BJ9" s="53">
        <f t="shared" si="3"/>
        <v>56081.871679311895</v>
      </c>
      <c r="BK9" s="20">
        <f t="shared" si="4"/>
        <v>2171.3606435068486</v>
      </c>
      <c r="BL9" s="20">
        <f t="shared" si="5"/>
        <v>0</v>
      </c>
      <c r="BM9" s="20">
        <f t="shared" si="14"/>
        <v>58253.232322818745</v>
      </c>
      <c r="BO9" s="20"/>
      <c r="BS9" s="20"/>
      <c r="BT9" s="20"/>
      <c r="BU9" s="20"/>
    </row>
    <row r="10" spans="2:73" x14ac:dyDescent="0.2">
      <c r="B10" s="48">
        <v>6</v>
      </c>
      <c r="C10" s="48" t="s">
        <v>127</v>
      </c>
      <c r="D10" s="48" t="s">
        <v>41</v>
      </c>
      <c r="E10" s="48" t="s">
        <v>128</v>
      </c>
      <c r="F10" s="49">
        <v>5000000</v>
      </c>
      <c r="G10" s="49">
        <v>1000000</v>
      </c>
      <c r="H10" s="49"/>
      <c r="I10" s="49">
        <v>70000000</v>
      </c>
      <c r="J10" s="49">
        <v>5000000</v>
      </c>
      <c r="K10" s="50">
        <v>1</v>
      </c>
      <c r="L10" s="52" t="str">
        <f>INDEX(Mapping!$F$3:$F$7,MATCH(Calculation!I10,Mapping!$G$2:$G$6,1))</f>
        <v>20m-100m</v>
      </c>
      <c r="M10" t="str">
        <f>VLOOKUP(E10,Mapping!$I$3:$J$26,2,FALSE)</f>
        <v>4 Healthcare</v>
      </c>
      <c r="N10" t="str">
        <f>INDEX(Parameters!$L$7:$P$30,MATCH(Calculation!M10,Parameters!$K$7:$K$30,0),MATCH(Calculation!L10,Parameters!$L$6:$P$6,0))</f>
        <v>RC6</v>
      </c>
      <c r="O10">
        <f>VLOOKUP(L10,Parameters!$BT$7:$BU$11,2,FALSE)</f>
        <v>0.82499999999999996</v>
      </c>
      <c r="P10" s="73">
        <f>VLOOKUP(M10,Parameters!$AN$7:$AO$30,2,FALSE)</f>
        <v>0.40213333333333329</v>
      </c>
      <c r="Q10">
        <f>VLOOKUP(R10,Parameters!$AR$7:$BO$27,24,FALSE)</f>
        <v>18</v>
      </c>
      <c r="R10" t="str">
        <f>Results!$C$4&amp;Calculation!N10</f>
        <v>Event 1RC6</v>
      </c>
      <c r="S10" s="81">
        <f>VLOOKUP(R10,Parameters!$AR$7:$BP$27,25,FALSE)</f>
        <v>5.6770979999999999E-2</v>
      </c>
      <c r="T10" s="18">
        <f>VLOOKUP(D10,Parameters!$C$14:$D$17,2,FALSE)</f>
        <v>1</v>
      </c>
      <c r="U10">
        <f>VLOOKUP(M10,Parameters!$BW$34:$BX$57,2,FALSE)</f>
        <v>1</v>
      </c>
      <c r="V10" s="73">
        <f t="shared" si="6"/>
        <v>5.6770979999999999E-2</v>
      </c>
      <c r="W10" s="73">
        <f>V10*Parameters!$AC$7</f>
        <v>1.1354196E-2</v>
      </c>
      <c r="X10" s="73">
        <f>(VLOOKUP(R10,Parameters!$AR$7:$BC$27,7,FALSE)-VLOOKUP(R10,Parameters!$AR$7:$BC$27,12,FALSE))*T10*U10</f>
        <v>1.4000000000000123E-3</v>
      </c>
      <c r="Y10" s="73">
        <f>(VLOOKUP(R10,Parameters!$AR$7:$BM$27,12,FALSE)-VLOOKUP(R10,Parameters!$AR$7:$BM$27,17,FALSE))*T10*U10</f>
        <v>1.7346E-2</v>
      </c>
      <c r="Z10" s="73">
        <f>(VLOOKUP(R10,Parameters!$AR$7:$BM$27,17,FALSE)-VLOOKUP(R10,Parameters!$AR$7:$BM$27,22,FALSE))*T10*U10</f>
        <v>8.4830200000000008E-3</v>
      </c>
      <c r="AA10" s="51">
        <f>INDEX(Parameters!$AG$7:$AK$30,MATCH(Calculation!M10,Parameters!$AF$7:$AF$30,0),MATCH(Calculation!L10,Parameters!$AG$6:$AK$6,0))</f>
        <v>300000</v>
      </c>
      <c r="AB10" s="73">
        <f>VLOOKUP(R10,Parameters!$AR$7:$BR$27,26,FALSE)</f>
        <v>2.5896654011266862</v>
      </c>
      <c r="AC10" s="73">
        <f>VLOOKUP(R10,Parameters!$AR$7:$BR$27,27,FALSE)</f>
        <v>0.77550803576684924</v>
      </c>
      <c r="AD10" s="20">
        <f t="shared" si="7"/>
        <v>0</v>
      </c>
      <c r="AE10" s="20">
        <f t="shared" si="0"/>
        <v>0</v>
      </c>
      <c r="AF10" s="20">
        <f t="shared" si="0"/>
        <v>0</v>
      </c>
      <c r="AG10" s="20">
        <f t="shared" si="0"/>
        <v>0</v>
      </c>
      <c r="AH10" s="20">
        <f t="shared" si="0"/>
        <v>0</v>
      </c>
      <c r="AI10" s="20">
        <f t="shared" si="0"/>
        <v>0</v>
      </c>
      <c r="AJ10" s="20">
        <f t="shared" si="0"/>
        <v>0</v>
      </c>
      <c r="AK10" s="20">
        <f t="shared" si="0"/>
        <v>0</v>
      </c>
      <c r="AL10" s="20">
        <f t="shared" si="0"/>
        <v>0</v>
      </c>
      <c r="AM10" s="20">
        <f t="shared" si="0"/>
        <v>69102.092875672504</v>
      </c>
      <c r="AN10" s="20">
        <f t="shared" si="0"/>
        <v>147825.72824900295</v>
      </c>
      <c r="AO10" s="20">
        <f t="shared" si="0"/>
        <v>234607.34555191151</v>
      </c>
      <c r="AP10" s="20">
        <f t="shared" si="0"/>
        <v>331890.48358354694</v>
      </c>
      <c r="AQ10" s="20">
        <f t="shared" si="0"/>
        <v>443094.36972562154</v>
      </c>
      <c r="AR10" s="20">
        <f t="shared" si="0"/>
        <v>573280.4963990727</v>
      </c>
      <c r="AS10" s="20">
        <f t="shared" si="0"/>
        <v>730454.24527509068</v>
      </c>
      <c r="AT10" s="20">
        <f t="shared" si="0"/>
        <v>928409.6378941189</v>
      </c>
      <c r="AU10" s="20">
        <f t="shared" si="0"/>
        <v>1193983.4349119985</v>
      </c>
      <c r="AV10" s="20">
        <f t="shared" si="0"/>
        <v>1590507.3972602738</v>
      </c>
      <c r="AW10" s="20">
        <f t="shared" si="0"/>
        <v>2335927.6601992454</v>
      </c>
      <c r="AX10" s="20">
        <f t="shared" si="0"/>
        <v>2945488.5277222046</v>
      </c>
      <c r="AY10" s="20">
        <f t="shared" si="8"/>
        <v>548789.11522132182</v>
      </c>
      <c r="AZ10" s="53">
        <f t="shared" si="9"/>
        <v>1145253.6986301369</v>
      </c>
      <c r="BA10" s="15">
        <f>Parameters!$AC$8</f>
        <v>0.5</v>
      </c>
      <c r="BB10" s="20">
        <f t="shared" si="10"/>
        <v>572626.84931506845</v>
      </c>
      <c r="BC10" s="7">
        <f t="shared" si="1"/>
        <v>0</v>
      </c>
      <c r="BD10" s="51">
        <f>Parameters!$Y$7*Calculation!AA10</f>
        <v>150000</v>
      </c>
      <c r="BE10" s="7">
        <f>Parameters!$Y$8*Calculation!AA10</f>
        <v>180000</v>
      </c>
      <c r="BF10" s="7">
        <f>Parameters!$Y$9*Calculation!AA10</f>
        <v>210000</v>
      </c>
      <c r="BG10" s="7">
        <f t="shared" si="11"/>
        <v>0</v>
      </c>
      <c r="BH10" s="7">
        <f t="shared" si="12"/>
        <v>0</v>
      </c>
      <c r="BI10" s="7">
        <f t="shared" si="13"/>
        <v>0</v>
      </c>
      <c r="BJ10" s="53">
        <f t="shared" si="3"/>
        <v>31155.295884447354</v>
      </c>
      <c r="BK10" s="20">
        <f t="shared" si="4"/>
        <v>0</v>
      </c>
      <c r="BL10" s="20">
        <f t="shared" si="5"/>
        <v>0</v>
      </c>
      <c r="BM10" s="20">
        <f t="shared" si="14"/>
        <v>31155.295884447354</v>
      </c>
      <c r="BO10" s="20"/>
      <c r="BS10" s="20"/>
      <c r="BT10" s="20"/>
      <c r="BU10" s="20"/>
    </row>
    <row r="11" spans="2:73" x14ac:dyDescent="0.2">
      <c r="B11" s="48">
        <v>7</v>
      </c>
      <c r="C11" s="48" t="s">
        <v>129</v>
      </c>
      <c r="D11" s="48" t="s">
        <v>41</v>
      </c>
      <c r="E11" s="48" t="s">
        <v>130</v>
      </c>
      <c r="F11" s="49">
        <v>2000000</v>
      </c>
      <c r="G11" s="49"/>
      <c r="H11" s="49">
        <v>100000</v>
      </c>
      <c r="I11" s="49">
        <v>30000000</v>
      </c>
      <c r="J11" s="49">
        <v>1000000</v>
      </c>
      <c r="K11" s="50">
        <v>1</v>
      </c>
      <c r="L11" s="52" t="str">
        <f>INDEX(Mapping!$F$3:$F$7,MATCH(Calculation!I11,Mapping!$G$2:$G$6,1))</f>
        <v>20m-100m</v>
      </c>
      <c r="M11" t="str">
        <f>VLOOKUP(E11,Mapping!$I$3:$J$26,2,FALSE)</f>
        <v>5 Business &amp; Professional Services</v>
      </c>
      <c r="N11" t="str">
        <f>INDEX(Parameters!$L$7:$P$30,MATCH(Calculation!M11,Parameters!$K$7:$K$30,0),MATCH(Calculation!L11,Parameters!$L$6:$P$6,0))</f>
        <v>RC5</v>
      </c>
      <c r="O11">
        <f>VLOOKUP(L11,Parameters!$BT$7:$BU$11,2,FALSE)</f>
        <v>0.82499999999999996</v>
      </c>
      <c r="P11" s="73">
        <f>VLOOKUP(M11,Parameters!$AN$7:$AO$30,2,FALSE)</f>
        <v>0.31719999999999998</v>
      </c>
      <c r="Q11">
        <f>VLOOKUP(R11,Parameters!$AR$7:$BO$27,24,FALSE)</f>
        <v>15</v>
      </c>
      <c r="R11" t="str">
        <f>Results!$C$4&amp;Calculation!N11</f>
        <v>Event 1RC5</v>
      </c>
      <c r="S11" s="81">
        <f>VLOOKUP(R11,Parameters!$AR$7:$BP$27,25,FALSE)</f>
        <v>6.3255959999999986E-2</v>
      </c>
      <c r="T11" s="18">
        <f>VLOOKUP(D11,Parameters!$C$14:$D$17,2,FALSE)</f>
        <v>1</v>
      </c>
      <c r="U11">
        <f>VLOOKUP(M11,Parameters!$BW$34:$BX$57,2,FALSE)</f>
        <v>1</v>
      </c>
      <c r="V11" s="73">
        <f t="shared" si="6"/>
        <v>6.3255959999999986E-2</v>
      </c>
      <c r="W11" s="73">
        <f>V11*Parameters!$AC$7</f>
        <v>1.2651191999999999E-2</v>
      </c>
      <c r="X11" s="73">
        <f>(VLOOKUP(R11,Parameters!$AR$7:$BC$27,7,FALSE)-VLOOKUP(R11,Parameters!$AR$7:$BC$27,12,FALSE))*T11*U11</f>
        <v>3.600000000000006E-3</v>
      </c>
      <c r="Y11" s="73">
        <f>(VLOOKUP(R11,Parameters!$AR$7:$BM$27,12,FALSE)-VLOOKUP(R11,Parameters!$AR$7:$BM$27,17,FALSE))*T11*U11</f>
        <v>2.8188000000000005E-2</v>
      </c>
      <c r="Z11" s="73">
        <f>(VLOOKUP(R11,Parameters!$AR$7:$BM$27,17,FALSE)-VLOOKUP(R11,Parameters!$AR$7:$BM$27,22,FALSE))*T11*U11</f>
        <v>1.2956040000000002E-2</v>
      </c>
      <c r="AA11" s="51">
        <f>INDEX(Parameters!$AG$7:$AK$30,MATCH(Calculation!M11,Parameters!$AF$7:$AF$30,0),MATCH(Calculation!L11,Parameters!$AG$6:$AK$6,0))</f>
        <v>300000</v>
      </c>
      <c r="AB11" s="73">
        <f>VLOOKUP(R11,Parameters!$AR$7:$BR$27,26,FALSE)</f>
        <v>2.4073438443327317</v>
      </c>
      <c r="AC11" s="73">
        <f>VLOOKUP(R11,Parameters!$AR$7:$BR$27,27,FALSE)</f>
        <v>0.77550803576684924</v>
      </c>
      <c r="AD11" s="20">
        <f t="shared" si="7"/>
        <v>255547.24460501125</v>
      </c>
      <c r="AE11" s="20">
        <f t="shared" si="0"/>
        <v>266700.15416008222</v>
      </c>
      <c r="AF11" s="20">
        <f t="shared" si="0"/>
        <v>288406.98056524881</v>
      </c>
      <c r="AG11" s="20">
        <f t="shared" si="0"/>
        <v>306915.8468978671</v>
      </c>
      <c r="AH11" s="20">
        <f t="shared" si="0"/>
        <v>324352.52054637752</v>
      </c>
      <c r="AI11" s="20">
        <f t="shared" si="0"/>
        <v>341561.21639193385</v>
      </c>
      <c r="AJ11" s="20">
        <f t="shared" si="0"/>
        <v>359035.53343259625</v>
      </c>
      <c r="AK11" s="20">
        <f t="shared" si="0"/>
        <v>377147.96635972685</v>
      </c>
      <c r="AL11" s="20">
        <f t="shared" si="0"/>
        <v>396238.69603963883</v>
      </c>
      <c r="AM11" s="20">
        <f t="shared" si="0"/>
        <v>416665.15239570208</v>
      </c>
      <c r="AN11" s="20">
        <f t="shared" si="0"/>
        <v>438842.53120315203</v>
      </c>
      <c r="AO11" s="20">
        <f t="shared" si="0"/>
        <v>463289.93878694554</v>
      </c>
      <c r="AP11" s="20">
        <f t="shared" si="0"/>
        <v>490695.74891593156</v>
      </c>
      <c r="AQ11" s="20">
        <f t="shared" si="0"/>
        <v>522023.19836790138</v>
      </c>
      <c r="AR11" s="20">
        <f t="shared" si="0"/>
        <v>558698.16939813783</v>
      </c>
      <c r="AS11" s="20">
        <f t="shared" si="0"/>
        <v>602975.87266832171</v>
      </c>
      <c r="AT11" s="20">
        <f t="shared" si="0"/>
        <v>658742.2471284233</v>
      </c>
      <c r="AU11" s="20">
        <f t="shared" si="0"/>
        <v>733557.52553709329</v>
      </c>
      <c r="AV11" s="20">
        <f t="shared" si="0"/>
        <v>845263.01369863003</v>
      </c>
      <c r="AW11" s="20">
        <f t="shared" si="0"/>
        <v>1055256.7146189376</v>
      </c>
      <c r="AX11" s="20">
        <f t="shared" si="0"/>
        <v>1226977.2176311016</v>
      </c>
      <c r="AY11" s="20">
        <f t="shared" si="8"/>
        <v>520423.49949279812</v>
      </c>
      <c r="AZ11" s="53">
        <f t="shared" si="9"/>
        <v>322631.50684931508</v>
      </c>
      <c r="BA11" s="15">
        <f>Parameters!$AC$8</f>
        <v>0.5</v>
      </c>
      <c r="BB11" s="20">
        <f t="shared" si="10"/>
        <v>161315.75342465754</v>
      </c>
      <c r="BC11" s="7">
        <f t="shared" si="1"/>
        <v>61315.753424657538</v>
      </c>
      <c r="BD11" s="51">
        <f>Parameters!$Y$7*Calculation!AA11</f>
        <v>150000</v>
      </c>
      <c r="BE11" s="7">
        <f>Parameters!$Y$8*Calculation!AA11</f>
        <v>180000</v>
      </c>
      <c r="BF11" s="7">
        <f>Parameters!$Y$9*Calculation!AA11</f>
        <v>210000</v>
      </c>
      <c r="BG11" s="7">
        <f t="shared" si="11"/>
        <v>50000</v>
      </c>
      <c r="BH11" s="7">
        <f t="shared" si="12"/>
        <v>80000</v>
      </c>
      <c r="BI11" s="7">
        <f t="shared" si="13"/>
        <v>110000</v>
      </c>
      <c r="BJ11" s="53">
        <f t="shared" si="3"/>
        <v>32919.888066976448</v>
      </c>
      <c r="BK11" s="20">
        <f t="shared" si="4"/>
        <v>775.71736920000001</v>
      </c>
      <c r="BL11" s="20">
        <f t="shared" si="5"/>
        <v>3860.204400000001</v>
      </c>
      <c r="BM11" s="20">
        <f t="shared" si="14"/>
        <v>37555.80983617645</v>
      </c>
      <c r="BO11" s="20"/>
      <c r="BS11" s="20"/>
      <c r="BT11" s="20"/>
      <c r="BU11" s="20"/>
    </row>
    <row r="12" spans="2:73" x14ac:dyDescent="0.2">
      <c r="B12" s="48">
        <v>8</v>
      </c>
      <c r="C12" s="48" t="s">
        <v>131</v>
      </c>
      <c r="D12" s="48" t="s">
        <v>41</v>
      </c>
      <c r="E12" s="48" t="s">
        <v>132</v>
      </c>
      <c r="F12" s="49">
        <v>1000000</v>
      </c>
      <c r="G12" s="49">
        <v>25000</v>
      </c>
      <c r="H12" s="49"/>
      <c r="I12" s="49">
        <v>5000000</v>
      </c>
      <c r="J12" s="49">
        <v>500000</v>
      </c>
      <c r="K12" s="50">
        <v>1</v>
      </c>
      <c r="L12" s="52" t="str">
        <f>INDEX(Mapping!$F$3:$F$7,MATCH(Calculation!I12,Mapping!$G$2:$G$6,1))</f>
        <v>0-20m</v>
      </c>
      <c r="M12" t="str">
        <f>VLOOKUP(E12,Mapping!$I$3:$J$26,2,FALSE)</f>
        <v>6 Energy</v>
      </c>
      <c r="N12" t="str">
        <f>INDEX(Parameters!$L$7:$P$30,MATCH(Calculation!M12,Parameters!$K$7:$K$30,0),MATCH(Calculation!L12,Parameters!$L$6:$P$6,0))</f>
        <v>RC6</v>
      </c>
      <c r="O12">
        <f>VLOOKUP(L12,Parameters!$BT$7:$BU$11,2,FALSE)</f>
        <v>0.9</v>
      </c>
      <c r="P12" s="73">
        <f>VLOOKUP(M12,Parameters!$AN$7:$AO$30,2,FALSE)</f>
        <v>0.40264999999999995</v>
      </c>
      <c r="Q12">
        <f>VLOOKUP(R12,Parameters!$AR$7:$BO$27,24,FALSE)</f>
        <v>18</v>
      </c>
      <c r="R12" t="str">
        <f>Results!$C$4&amp;Calculation!N12</f>
        <v>Event 1RC6</v>
      </c>
      <c r="S12" s="81">
        <f>VLOOKUP(R12,Parameters!$AR$7:$BP$27,25,FALSE)</f>
        <v>5.6770979999999999E-2</v>
      </c>
      <c r="T12" s="18">
        <f>VLOOKUP(D12,Parameters!$C$14:$D$17,2,FALSE)</f>
        <v>1</v>
      </c>
      <c r="U12">
        <f>VLOOKUP(M12,Parameters!$BW$34:$BX$57,2,FALSE)</f>
        <v>1</v>
      </c>
      <c r="V12" s="73">
        <f t="shared" si="6"/>
        <v>5.6770979999999999E-2</v>
      </c>
      <c r="W12" s="73">
        <f>V12*Parameters!$AC$7</f>
        <v>1.1354196E-2</v>
      </c>
      <c r="X12" s="73">
        <f>(VLOOKUP(R12,Parameters!$AR$7:$BC$27,7,FALSE)-VLOOKUP(R12,Parameters!$AR$7:$BC$27,12,FALSE))*T12*U12</f>
        <v>1.4000000000000123E-3</v>
      </c>
      <c r="Y12" s="73">
        <f>(VLOOKUP(R12,Parameters!$AR$7:$BM$27,12,FALSE)-VLOOKUP(R12,Parameters!$AR$7:$BM$27,17,FALSE))*T12*U12</f>
        <v>1.7346E-2</v>
      </c>
      <c r="Z12" s="73">
        <f>(VLOOKUP(R12,Parameters!$AR$7:$BM$27,17,FALSE)-VLOOKUP(R12,Parameters!$AR$7:$BM$27,22,FALSE))*T12*U12</f>
        <v>8.4830200000000008E-3</v>
      </c>
      <c r="AA12" s="51">
        <f>INDEX(Parameters!$AG$7:$AK$30,MATCH(Calculation!M12,Parameters!$AF$7:$AF$30,0),MATCH(Calculation!L12,Parameters!$AG$6:$AK$6,0))</f>
        <v>10000</v>
      </c>
      <c r="AB12" s="73">
        <f>VLOOKUP(R12,Parameters!$AR$7:$BR$27,26,FALSE)</f>
        <v>2.5896654011266862</v>
      </c>
      <c r="AC12" s="73">
        <f>VLOOKUP(R12,Parameters!$AR$7:$BR$27,27,FALSE)</f>
        <v>0.77550803576684924</v>
      </c>
      <c r="AD12" s="20">
        <f t="shared" si="7"/>
        <v>384.22426243799418</v>
      </c>
      <c r="AE12" s="20">
        <f t="shared" si="0"/>
        <v>3473.1058621280135</v>
      </c>
      <c r="AF12" s="20">
        <f t="shared" si="0"/>
        <v>9484.9735581318964</v>
      </c>
      <c r="AG12" s="20">
        <f t="shared" si="0"/>
        <v>14611.142327244874</v>
      </c>
      <c r="AH12" s="20">
        <f t="shared" si="0"/>
        <v>19440.359324543555</v>
      </c>
      <c r="AI12" s="20">
        <f t="shared" si="0"/>
        <v>24206.436166602442</v>
      </c>
      <c r="AJ12" s="20">
        <f t="shared" si="0"/>
        <v>29046.078782507087</v>
      </c>
      <c r="AK12" s="20">
        <f t="shared" si="0"/>
        <v>34062.452359103991</v>
      </c>
      <c r="AL12" s="20">
        <f t="shared" si="0"/>
        <v>39349.772528048074</v>
      </c>
      <c r="AM12" s="20">
        <f t="shared" si="0"/>
        <v>45007.032176175271</v>
      </c>
      <c r="AN12" s="20">
        <f t="shared" si="0"/>
        <v>51149.222874434825</v>
      </c>
      <c r="AO12" s="20">
        <f t="shared" si="0"/>
        <v>57920.114996604578</v>
      </c>
      <c r="AP12" s="20">
        <f t="shared" si="0"/>
        <v>65510.358799266178</v>
      </c>
      <c r="AQ12" s="20">
        <f t="shared" si="0"/>
        <v>74186.729902214036</v>
      </c>
      <c r="AR12" s="20">
        <f t="shared" si="0"/>
        <v>84344.137045622032</v>
      </c>
      <c r="AS12" s="20">
        <f t="shared" si="0"/>
        <v>96607.177665871568</v>
      </c>
      <c r="AT12" s="20">
        <f t="shared" si="0"/>
        <v>112052.09157830535</v>
      </c>
      <c r="AU12" s="20">
        <f t="shared" si="0"/>
        <v>132772.74171100117</v>
      </c>
      <c r="AV12" s="20">
        <f t="shared" si="0"/>
        <v>163710.4109589041</v>
      </c>
      <c r="AW12" s="20">
        <f t="shared" si="0"/>
        <v>221869.73482149397</v>
      </c>
      <c r="AX12" s="20">
        <f t="shared" si="0"/>
        <v>269429.01067006512</v>
      </c>
      <c r="AY12" s="20">
        <f t="shared" si="8"/>
        <v>73743.681350986008</v>
      </c>
      <c r="AZ12" s="53">
        <f t="shared" si="9"/>
        <v>89355.205479452037</v>
      </c>
      <c r="BA12" s="15">
        <f>Parameters!$AC$8</f>
        <v>0.5</v>
      </c>
      <c r="BB12" s="20">
        <f t="shared" si="10"/>
        <v>44677.602739726019</v>
      </c>
      <c r="BC12" s="7">
        <f t="shared" si="1"/>
        <v>19677.602739726019</v>
      </c>
      <c r="BD12" s="51">
        <f>Parameters!$Y$7*Calculation!AA12</f>
        <v>5000</v>
      </c>
      <c r="BE12" s="7">
        <f>Parameters!$Y$8*Calculation!AA12</f>
        <v>6000</v>
      </c>
      <c r="BF12" s="7">
        <f>Parameters!$Y$9*Calculation!AA12</f>
        <v>7000</v>
      </c>
      <c r="BG12" s="7">
        <f t="shared" si="11"/>
        <v>0</v>
      </c>
      <c r="BH12" s="7">
        <f t="shared" si="12"/>
        <v>0</v>
      </c>
      <c r="BI12" s="7">
        <f t="shared" si="13"/>
        <v>0</v>
      </c>
      <c r="BJ12" s="53">
        <f t="shared" si="3"/>
        <v>4186.5010591031996</v>
      </c>
      <c r="BK12" s="20">
        <f t="shared" si="4"/>
        <v>223.42335831698622</v>
      </c>
      <c r="BL12" s="20">
        <f t="shared" si="5"/>
        <v>0</v>
      </c>
      <c r="BM12" s="20">
        <f t="shared" si="14"/>
        <v>4409.9244174201858</v>
      </c>
      <c r="BO12" s="20"/>
      <c r="BS12" s="20"/>
      <c r="BT12" s="20"/>
      <c r="BU12" s="20"/>
    </row>
    <row r="13" spans="2:73" x14ac:dyDescent="0.2">
      <c r="B13" s="48">
        <v>9</v>
      </c>
      <c r="C13" s="48" t="s">
        <v>133</v>
      </c>
      <c r="D13" s="48" t="s">
        <v>41</v>
      </c>
      <c r="E13" s="48" t="s">
        <v>134</v>
      </c>
      <c r="F13" s="49">
        <v>100000</v>
      </c>
      <c r="G13" s="49"/>
      <c r="H13" s="49">
        <v>10000</v>
      </c>
      <c r="I13" s="49">
        <v>500000</v>
      </c>
      <c r="J13" s="49">
        <v>100000</v>
      </c>
      <c r="K13" s="50">
        <v>1</v>
      </c>
      <c r="L13" s="52" t="str">
        <f>INDEX(Mapping!$F$3:$F$7,MATCH(Calculation!I13,Mapping!$G$2:$G$6,1))</f>
        <v>0-20m</v>
      </c>
      <c r="M13" t="str">
        <f>VLOOKUP(E13,Mapping!$I$3:$J$26,2,FALSE)</f>
        <v>7 Telecommunications</v>
      </c>
      <c r="N13" t="str">
        <f>INDEX(Parameters!$L$7:$P$30,MATCH(Calculation!M13,Parameters!$K$7:$K$30,0),MATCH(Calculation!L13,Parameters!$L$6:$P$6,0))</f>
        <v>RC5</v>
      </c>
      <c r="O13">
        <f>VLOOKUP(L13,Parameters!$BT$7:$BU$11,2,FALSE)</f>
        <v>0.9</v>
      </c>
      <c r="P13" s="73">
        <f>VLOOKUP(M13,Parameters!$AN$7:$AO$30,2,FALSE)</f>
        <v>0.46596666666666664</v>
      </c>
      <c r="Q13">
        <f>VLOOKUP(R13,Parameters!$AR$7:$BO$27,24,FALSE)</f>
        <v>15</v>
      </c>
      <c r="R13" t="str">
        <f>Results!$C$4&amp;Calculation!N13</f>
        <v>Event 1RC5</v>
      </c>
      <c r="S13" s="81">
        <f>VLOOKUP(R13,Parameters!$AR$7:$BP$27,25,FALSE)</f>
        <v>6.3255959999999986E-2</v>
      </c>
      <c r="T13" s="18">
        <f>VLOOKUP(D13,Parameters!$C$14:$D$17,2,FALSE)</f>
        <v>1</v>
      </c>
      <c r="U13">
        <f>VLOOKUP(M13,Parameters!$BW$34:$BX$57,2,FALSE)</f>
        <v>1</v>
      </c>
      <c r="V13" s="73">
        <f t="shared" si="6"/>
        <v>6.3255959999999986E-2</v>
      </c>
      <c r="W13" s="73">
        <f>V13*Parameters!$AC$7</f>
        <v>1.2651191999999999E-2</v>
      </c>
      <c r="X13" s="73">
        <f>(VLOOKUP(R13,Parameters!$AR$7:$BC$27,7,FALSE)-VLOOKUP(R13,Parameters!$AR$7:$BC$27,12,FALSE))*T13*U13</f>
        <v>3.600000000000006E-3</v>
      </c>
      <c r="Y13" s="73">
        <f>(VLOOKUP(R13,Parameters!$AR$7:$BM$27,12,FALSE)-VLOOKUP(R13,Parameters!$AR$7:$BM$27,17,FALSE))*T13*U13</f>
        <v>2.8188000000000005E-2</v>
      </c>
      <c r="Z13" s="73">
        <f>(VLOOKUP(R13,Parameters!$AR$7:$BM$27,17,FALSE)-VLOOKUP(R13,Parameters!$AR$7:$BM$27,22,FALSE))*T13*U13</f>
        <v>1.2956040000000002E-2</v>
      </c>
      <c r="AA13" s="51">
        <f>INDEX(Parameters!$AG$7:$AK$30,MATCH(Calculation!M13,Parameters!$AF$7:$AF$30,0),MATCH(Calculation!L13,Parameters!$AG$6:$AK$6,0))</f>
        <v>10000</v>
      </c>
      <c r="AB13" s="73">
        <f>VLOOKUP(R13,Parameters!$AR$7:$BR$27,26,FALSE)</f>
        <v>2.4073438443327317</v>
      </c>
      <c r="AC13" s="73">
        <f>VLOOKUP(R13,Parameters!$AR$7:$BR$27,27,FALSE)</f>
        <v>0.77550803576684924</v>
      </c>
      <c r="AD13" s="20">
        <f t="shared" si="7"/>
        <v>1483.6159813776831</v>
      </c>
      <c r="AE13" s="20">
        <f t="shared" si="0"/>
        <v>1781.4999713473771</v>
      </c>
      <c r="AF13" s="20">
        <f t="shared" si="0"/>
        <v>2361.2694052535699</v>
      </c>
      <c r="AG13" s="20">
        <f t="shared" si="0"/>
        <v>2855.624257299256</v>
      </c>
      <c r="AH13" s="20">
        <f t="shared" si="0"/>
        <v>3321.341825667414</v>
      </c>
      <c r="AI13" s="20">
        <f t="shared" si="0"/>
        <v>3780.9703159135697</v>
      </c>
      <c r="AJ13" s="20">
        <f t="shared" si="0"/>
        <v>4247.6933047771472</v>
      </c>
      <c r="AK13" s="20">
        <f t="shared" si="0"/>
        <v>4731.4597839860562</v>
      </c>
      <c r="AL13" s="20">
        <f t="shared" si="0"/>
        <v>5241.3556726243114</v>
      </c>
      <c r="AM13" s="20">
        <f t="shared" si="0"/>
        <v>5786.9275962771226</v>
      </c>
      <c r="AN13" s="20">
        <f t="shared" si="0"/>
        <v>6379.2650534771346</v>
      </c>
      <c r="AO13" s="20">
        <f t="shared" si="0"/>
        <v>7032.2328982817708</v>
      </c>
      <c r="AP13" s="20">
        <f t="shared" si="0"/>
        <v>7764.2169630016579</v>
      </c>
      <c r="AQ13" s="20">
        <f t="shared" si="0"/>
        <v>8600.9444189401474</v>
      </c>
      <c r="AR13" s="20">
        <f t="shared" si="0"/>
        <v>9580.4992739817535</v>
      </c>
      <c r="AS13" s="20">
        <f t="shared" si="0"/>
        <v>10763.116137472716</v>
      </c>
      <c r="AT13" s="20">
        <f t="shared" si="0"/>
        <v>12252.584876396177</v>
      </c>
      <c r="AU13" s="20">
        <f t="shared" si="0"/>
        <v>14250.832377016748</v>
      </c>
      <c r="AV13" s="20">
        <f t="shared" si="0"/>
        <v>17234.383561643834</v>
      </c>
      <c r="AW13" s="20">
        <f t="shared" si="0"/>
        <v>22843.122804956489</v>
      </c>
      <c r="AX13" s="20">
        <f t="shared" si="0"/>
        <v>27429.620018466834</v>
      </c>
      <c r="AY13" s="20">
        <f t="shared" si="8"/>
        <v>8558.2179284837493</v>
      </c>
      <c r="AZ13" s="53">
        <f t="shared" si="9"/>
        <v>8617.1917808219168</v>
      </c>
      <c r="BA13" s="15">
        <f>Parameters!$AC$8</f>
        <v>0.5</v>
      </c>
      <c r="BB13" s="20">
        <f t="shared" si="10"/>
        <v>4308.5958904109584</v>
      </c>
      <c r="BC13" s="7">
        <f t="shared" si="1"/>
        <v>0</v>
      </c>
      <c r="BD13" s="51">
        <f>Parameters!$Y$7*Calculation!AA13</f>
        <v>5000</v>
      </c>
      <c r="BE13" s="7">
        <f>Parameters!$Y$8*Calculation!AA13</f>
        <v>6000</v>
      </c>
      <c r="BF13" s="7">
        <f>Parameters!$Y$9*Calculation!AA13</f>
        <v>7000</v>
      </c>
      <c r="BG13" s="7">
        <f t="shared" si="11"/>
        <v>0</v>
      </c>
      <c r="BH13" s="7">
        <f t="shared" si="12"/>
        <v>0</v>
      </c>
      <c r="BI13" s="7">
        <f t="shared" si="13"/>
        <v>0</v>
      </c>
      <c r="BJ13" s="53">
        <f t="shared" si="3"/>
        <v>541.3582909554508</v>
      </c>
      <c r="BK13" s="20">
        <f t="shared" si="4"/>
        <v>0</v>
      </c>
      <c r="BL13" s="20">
        <f t="shared" si="5"/>
        <v>0</v>
      </c>
      <c r="BM13" s="20">
        <f t="shared" si="14"/>
        <v>541.3582909554508</v>
      </c>
      <c r="BO13" s="20"/>
      <c r="BS13" s="20"/>
      <c r="BT13" s="20"/>
      <c r="BU13" s="20"/>
    </row>
    <row r="14" spans="2:73" x14ac:dyDescent="0.2">
      <c r="B14" s="48">
        <v>10</v>
      </c>
      <c r="C14" s="48" t="s">
        <v>135</v>
      </c>
      <c r="D14" s="48" t="s">
        <v>41</v>
      </c>
      <c r="E14" s="48" t="s">
        <v>136</v>
      </c>
      <c r="F14" s="49">
        <v>100000</v>
      </c>
      <c r="G14" s="49"/>
      <c r="H14" s="49">
        <v>10000</v>
      </c>
      <c r="I14" s="49">
        <v>100000</v>
      </c>
      <c r="J14" s="49">
        <v>0</v>
      </c>
      <c r="K14" s="50">
        <v>1</v>
      </c>
      <c r="L14" s="52" t="str">
        <f>INDEX(Mapping!$F$3:$F$7,MATCH(Calculation!I14,Mapping!$G$2:$G$6,1))</f>
        <v>0-20m</v>
      </c>
      <c r="M14" t="str">
        <f>VLOOKUP(E14,Mapping!$I$3:$J$26,2,FALSE)</f>
        <v>8 Utilities</v>
      </c>
      <c r="N14" t="str">
        <f>INDEX(Parameters!$L$7:$P$30,MATCH(Calculation!M14,Parameters!$K$7:$K$30,0),MATCH(Calculation!L14,Parameters!$L$6:$P$6,0))</f>
        <v>RC7</v>
      </c>
      <c r="O14">
        <f>VLOOKUP(L14,Parameters!$BT$7:$BU$11,2,FALSE)</f>
        <v>0.9</v>
      </c>
      <c r="P14" s="73">
        <f>VLOOKUP(M14,Parameters!$AN$7:$AO$30,2,FALSE)</f>
        <v>0.42135</v>
      </c>
      <c r="Q14">
        <f>VLOOKUP(R14,Parameters!$AR$7:$BO$27,24,FALSE)</f>
        <v>21</v>
      </c>
      <c r="R14" t="str">
        <f>Results!$C$4&amp;Calculation!N14</f>
        <v>Event 1RC7</v>
      </c>
      <c r="S14" s="81">
        <f>VLOOKUP(R14,Parameters!$AR$7:$BP$27,25,FALSE)</f>
        <v>4.5900000000000003E-2</v>
      </c>
      <c r="T14" s="18">
        <f>VLOOKUP(D14,Parameters!$C$14:$D$17,2,FALSE)</f>
        <v>1</v>
      </c>
      <c r="U14">
        <f>VLOOKUP(M14,Parameters!$BW$34:$BX$57,2,FALSE)</f>
        <v>1</v>
      </c>
      <c r="V14" s="73">
        <f t="shared" si="6"/>
        <v>4.5900000000000003E-2</v>
      </c>
      <c r="W14" s="73">
        <f>V14*Parameters!$AC$7</f>
        <v>9.1800000000000007E-3</v>
      </c>
      <c r="X14" s="73">
        <f>(VLOOKUP(R14,Parameters!$AR$7:$BC$27,7,FALSE)-VLOOKUP(R14,Parameters!$AR$7:$BC$27,12,FALSE))*T14*U14</f>
        <v>0</v>
      </c>
      <c r="Y14" s="73">
        <f>(VLOOKUP(R14,Parameters!$AR$7:$BM$27,12,FALSE)-VLOOKUP(R14,Parameters!$AR$7:$BM$27,17,FALSE))*T14*U14</f>
        <v>9.0000000000000011E-3</v>
      </c>
      <c r="Z14" s="73">
        <f>(VLOOKUP(R14,Parameters!$AR$7:$BM$27,17,FALSE)-VLOOKUP(R14,Parameters!$AR$7:$BM$27,22,FALSE))*T14*U14</f>
        <v>5.1000000000000004E-3</v>
      </c>
      <c r="AA14" s="51">
        <f>INDEX(Parameters!$AG$7:$AK$30,MATCH(Calculation!M14,Parameters!$AF$7:$AF$30,0),MATCH(Calculation!L14,Parameters!$AG$6:$AK$6,0))</f>
        <v>10000</v>
      </c>
      <c r="AB14" s="73">
        <f>VLOOKUP(R14,Parameters!$AR$7:$BR$27,26,FALSE)</f>
        <v>2.7438160809539447</v>
      </c>
      <c r="AC14" s="73">
        <f>VLOOKUP(R14,Parameters!$AR$7:$BR$27,27,FALSE)</f>
        <v>0.77550803576684924</v>
      </c>
      <c r="AD14" s="20">
        <f t="shared" si="7"/>
        <v>375.63641086839561</v>
      </c>
      <c r="AE14" s="20">
        <f t="shared" si="0"/>
        <v>451.05759414755084</v>
      </c>
      <c r="AF14" s="20">
        <f t="shared" si="0"/>
        <v>597.84929228057626</v>
      </c>
      <c r="AG14" s="20">
        <f t="shared" si="0"/>
        <v>723.01489082406079</v>
      </c>
      <c r="AH14" s="20">
        <f t="shared" si="0"/>
        <v>840.92982167949776</v>
      </c>
      <c r="AI14" s="20">
        <f t="shared" si="0"/>
        <v>957.30306015634415</v>
      </c>
      <c r="AJ14" s="20">
        <f t="shared" si="0"/>
        <v>1075.4725532105258</v>
      </c>
      <c r="AK14" s="20">
        <f t="shared" si="0"/>
        <v>1197.957283915388</v>
      </c>
      <c r="AL14" s="20">
        <f t="shared" si="0"/>
        <v>1327.0577141674021</v>
      </c>
      <c r="AM14" s="20">
        <f t="shared" si="0"/>
        <v>1465.1909520428835</v>
      </c>
      <c r="AN14" s="20">
        <f t="shared" si="0"/>
        <v>1615.1647452874859</v>
      </c>
      <c r="AO14" s="20">
        <f t="shared" si="0"/>
        <v>1780.4895333145869</v>
      </c>
      <c r="AP14" s="20">
        <f t="shared" si="0"/>
        <v>1965.8204210480217</v>
      </c>
      <c r="AQ14" s="20">
        <f t="shared" si="0"/>
        <v>2177.6712654504354</v>
      </c>
      <c r="AR14" s="20">
        <f t="shared" si="0"/>
        <v>2425.6845482777426</v>
      </c>
      <c r="AS14" s="20">
        <f t="shared" si="0"/>
        <v>2725.111057300428</v>
      </c>
      <c r="AT14" s="20">
        <f t="shared" si="0"/>
        <v>3102.2293265916051</v>
      </c>
      <c r="AU14" s="20">
        <f t="shared" si="0"/>
        <v>3608.1651810051117</v>
      </c>
      <c r="AV14" s="20">
        <f t="shared" si="0"/>
        <v>4363.5698630137013</v>
      </c>
      <c r="AW14" s="20">
        <f t="shared" si="0"/>
        <v>5783.6453443375576</v>
      </c>
      <c r="AX14" s="20">
        <f t="shared" si="0"/>
        <v>6944.8995862479787</v>
      </c>
      <c r="AY14" s="20">
        <f t="shared" si="8"/>
        <v>2166.853354531775</v>
      </c>
      <c r="AZ14" s="53">
        <f t="shared" si="9"/>
        <v>2181.7849315068493</v>
      </c>
      <c r="BA14" s="15">
        <f>Parameters!$AC$8</f>
        <v>0.5</v>
      </c>
      <c r="BB14" s="20">
        <f t="shared" si="10"/>
        <v>1090.8924657534246</v>
      </c>
      <c r="BC14" s="7">
        <f t="shared" si="1"/>
        <v>0</v>
      </c>
      <c r="BD14" s="51">
        <f>Parameters!$Y$7*Calculation!AA14</f>
        <v>5000</v>
      </c>
      <c r="BE14" s="7">
        <f>Parameters!$Y$8*Calculation!AA14</f>
        <v>6000</v>
      </c>
      <c r="BF14" s="7">
        <f>Parameters!$Y$9*Calculation!AA14</f>
        <v>7000</v>
      </c>
      <c r="BG14" s="7">
        <f t="shared" si="11"/>
        <v>0</v>
      </c>
      <c r="BH14" s="7">
        <f t="shared" si="12"/>
        <v>0</v>
      </c>
      <c r="BI14" s="7">
        <f t="shared" si="13"/>
        <v>0</v>
      </c>
      <c r="BJ14" s="53">
        <f t="shared" si="3"/>
        <v>99.458568973008482</v>
      </c>
      <c r="BK14" s="20">
        <f t="shared" si="4"/>
        <v>0</v>
      </c>
      <c r="BL14" s="20">
        <f t="shared" si="5"/>
        <v>0</v>
      </c>
      <c r="BM14" s="20">
        <f t="shared" si="14"/>
        <v>99.458568973008482</v>
      </c>
      <c r="BO14" s="20"/>
      <c r="BS14" s="20"/>
      <c r="BT14" s="20"/>
      <c r="BU14" s="20"/>
    </row>
    <row r="15" spans="2:73" x14ac:dyDescent="0.2">
      <c r="B15" s="48">
        <v>11</v>
      </c>
      <c r="C15" s="48" t="s">
        <v>137</v>
      </c>
      <c r="D15" s="48" t="s">
        <v>138</v>
      </c>
      <c r="E15" s="48" t="s">
        <v>139</v>
      </c>
      <c r="F15" s="49">
        <v>100000000</v>
      </c>
      <c r="G15" s="49">
        <v>500000000</v>
      </c>
      <c r="H15" s="49"/>
      <c r="I15" s="49">
        <v>500000000000</v>
      </c>
      <c r="J15" s="49">
        <v>100000000</v>
      </c>
      <c r="K15" s="50">
        <v>0.1</v>
      </c>
      <c r="L15" s="52" t="str">
        <f>INDEX(Mapping!$F$3:$F$7,MATCH(Calculation!I15,Mapping!$G$2:$G$6,1))</f>
        <v>10b and above</v>
      </c>
      <c r="M15" t="str">
        <f>VLOOKUP(E15,Mapping!$I$3:$J$26,2,FALSE)</f>
        <v>9 Tourism &amp; Hospitality</v>
      </c>
      <c r="N15" t="str">
        <f>INDEX(Parameters!$L$7:$P$30,MATCH(Calculation!M15,Parameters!$K$7:$K$30,0),MATCH(Calculation!L15,Parameters!$L$6:$P$6,0))</f>
        <v>RC2</v>
      </c>
      <c r="O15">
        <f>VLOOKUP(L15,Parameters!$BT$7:$BU$11,2,FALSE)</f>
        <v>0.6</v>
      </c>
      <c r="P15" s="73">
        <f>VLOOKUP(M15,Parameters!$AN$7:$AO$30,2,FALSE)</f>
        <v>0.39966666666666667</v>
      </c>
      <c r="Q15">
        <f>VLOOKUP(R15,Parameters!$AR$7:$BO$27,24,FALSE)</f>
        <v>5</v>
      </c>
      <c r="R15" t="str">
        <f>Results!$C$4&amp;Calculation!N15</f>
        <v>Event 1RC2</v>
      </c>
      <c r="S15" s="81">
        <f>VLOOKUP(R15,Parameters!$AR$7:$BP$27,25,FALSE)</f>
        <v>6.7452000000000012E-2</v>
      </c>
      <c r="T15" s="18">
        <f>VLOOKUP(D15,Parameters!$C$14:$D$17,2,FALSE)</f>
        <v>0.75</v>
      </c>
      <c r="U15">
        <f>VLOOKUP(M15,Parameters!$BW$34:$BX$57,2,FALSE)</f>
        <v>1</v>
      </c>
      <c r="V15" s="73">
        <f t="shared" si="6"/>
        <v>5.0589000000000009E-2</v>
      </c>
      <c r="W15" s="73">
        <f>V15*Parameters!$AC$7</f>
        <v>1.0117800000000003E-2</v>
      </c>
      <c r="X15" s="73">
        <f>(VLOOKUP(R15,Parameters!$AR$7:$BC$27,7,FALSE)-VLOOKUP(R15,Parameters!$AR$7:$BC$27,12,FALSE))*T15*U15</f>
        <v>1.1249999999999989E-2</v>
      </c>
      <c r="Y15" s="73">
        <f>(VLOOKUP(R15,Parameters!$AR$7:$BM$27,12,FALSE)-VLOOKUP(R15,Parameters!$AR$7:$BM$27,17,FALSE))*T15*U15</f>
        <v>5.4449999999999998E-2</v>
      </c>
      <c r="Z15" s="73">
        <f>(VLOOKUP(R15,Parameters!$AR$7:$BM$27,17,FALSE)-VLOOKUP(R15,Parameters!$AR$7:$BM$27,22,FALSE))*T15*U15</f>
        <v>1.8710999999999998E-2</v>
      </c>
      <c r="AA15" s="51">
        <f>INDEX(Parameters!$AG$7:$AK$30,MATCH(Calculation!M15,Parameters!$AF$7:$AF$30,0),MATCH(Calculation!L15,Parameters!$AG$6:$AK$6,0))</f>
        <v>25000000</v>
      </c>
      <c r="AB15" s="73">
        <f>VLOOKUP(R15,Parameters!$AR$7:$BR$27,26,FALSE)</f>
        <v>1.3087315556646217</v>
      </c>
      <c r="AC15" s="73">
        <f>VLOOKUP(R15,Parameters!$AR$7:$BR$27,27,FALSE)</f>
        <v>0.77550803576684968</v>
      </c>
      <c r="AD15" s="20">
        <f t="shared" si="7"/>
        <v>0</v>
      </c>
      <c r="AE15" s="20">
        <f t="shared" si="0"/>
        <v>0</v>
      </c>
      <c r="AF15" s="20">
        <f t="shared" si="0"/>
        <v>0</v>
      </c>
      <c r="AG15" s="20">
        <f t="shared" si="0"/>
        <v>69291593.660618544</v>
      </c>
      <c r="AH15" s="20">
        <f t="shared" si="0"/>
        <v>100000000</v>
      </c>
      <c r="AI15" s="20">
        <f t="shared" si="0"/>
        <v>100000000</v>
      </c>
      <c r="AJ15" s="20">
        <f t="shared" si="0"/>
        <v>100000000</v>
      </c>
      <c r="AK15" s="20">
        <f t="shared" si="0"/>
        <v>100000000</v>
      </c>
      <c r="AL15" s="20">
        <f t="shared" si="0"/>
        <v>100000000</v>
      </c>
      <c r="AM15" s="20">
        <f t="shared" si="0"/>
        <v>100000000</v>
      </c>
      <c r="AN15" s="20">
        <f t="shared" si="0"/>
        <v>100000000</v>
      </c>
      <c r="AO15" s="20">
        <f t="shared" si="0"/>
        <v>100000000</v>
      </c>
      <c r="AP15" s="20">
        <f t="shared" si="0"/>
        <v>100000000</v>
      </c>
      <c r="AQ15" s="20">
        <f t="shared" si="0"/>
        <v>100000000</v>
      </c>
      <c r="AR15" s="20">
        <f t="shared" si="0"/>
        <v>100000000</v>
      </c>
      <c r="AS15" s="20">
        <f t="shared" si="0"/>
        <v>100000000</v>
      </c>
      <c r="AT15" s="20">
        <f t="shared" si="0"/>
        <v>100000000</v>
      </c>
      <c r="AU15" s="20">
        <f t="shared" si="0"/>
        <v>100000000</v>
      </c>
      <c r="AV15" s="20">
        <f t="shared" si="0"/>
        <v>100000000</v>
      </c>
      <c r="AW15" s="20">
        <f t="shared" si="0"/>
        <v>100000000</v>
      </c>
      <c r="AX15" s="20">
        <f t="shared" si="0"/>
        <v>100000000</v>
      </c>
      <c r="AY15" s="20">
        <f t="shared" si="8"/>
        <v>84251980.650505647</v>
      </c>
      <c r="AZ15" s="53">
        <f t="shared" si="9"/>
        <v>1642465753.4246576</v>
      </c>
      <c r="BA15" s="15">
        <f>Parameters!$AC$8</f>
        <v>0.5</v>
      </c>
      <c r="BB15" s="20">
        <f t="shared" si="10"/>
        <v>821232876.71232879</v>
      </c>
      <c r="BC15" s="7">
        <f t="shared" si="1"/>
        <v>100000000</v>
      </c>
      <c r="BD15" s="51">
        <f>Parameters!$Y$7*Calculation!AA15</f>
        <v>12500000</v>
      </c>
      <c r="BE15" s="7">
        <f>Parameters!$Y$8*Calculation!AA15</f>
        <v>15000000</v>
      </c>
      <c r="BF15" s="7">
        <f>Parameters!$Y$9*Calculation!AA15</f>
        <v>17500000</v>
      </c>
      <c r="BG15" s="7">
        <f t="shared" si="11"/>
        <v>0</v>
      </c>
      <c r="BH15" s="7">
        <f t="shared" si="12"/>
        <v>0</v>
      </c>
      <c r="BI15" s="7">
        <f t="shared" si="13"/>
        <v>0</v>
      </c>
      <c r="BJ15" s="53">
        <f t="shared" si="3"/>
        <v>426222.34491284314</v>
      </c>
      <c r="BK15" s="20">
        <f t="shared" si="4"/>
        <v>101178.00000000004</v>
      </c>
      <c r="BL15" s="20">
        <f t="shared" si="5"/>
        <v>0</v>
      </c>
      <c r="BM15" s="20">
        <f t="shared" si="14"/>
        <v>527400.3449128432</v>
      </c>
      <c r="BO15" s="20"/>
      <c r="BS15" s="20"/>
      <c r="BT15" s="20"/>
      <c r="BU15" s="20"/>
    </row>
    <row r="16" spans="2:73" x14ac:dyDescent="0.2">
      <c r="B16" s="48">
        <v>12</v>
      </c>
      <c r="C16" s="48" t="s">
        <v>140</v>
      </c>
      <c r="D16" s="48" t="s">
        <v>138</v>
      </c>
      <c r="E16" s="48" t="s">
        <v>141</v>
      </c>
      <c r="F16" s="49">
        <v>50000000</v>
      </c>
      <c r="G16" s="49">
        <v>100000000</v>
      </c>
      <c r="H16" s="49"/>
      <c r="I16" s="49">
        <v>200000000000</v>
      </c>
      <c r="J16" s="49">
        <v>50000000</v>
      </c>
      <c r="K16" s="50">
        <v>1</v>
      </c>
      <c r="L16" s="52" t="str">
        <f>INDEX(Mapping!$F$3:$F$7,MATCH(Calculation!I16,Mapping!$G$2:$G$6,1))</f>
        <v>10b and above</v>
      </c>
      <c r="M16" t="str">
        <f>VLOOKUP(E16,Mapping!$I$3:$J$26,2,FALSE)</f>
        <v>10 Manufacturing</v>
      </c>
      <c r="N16" t="str">
        <f>INDEX(Parameters!$L$7:$P$30,MATCH(Calculation!M16,Parameters!$K$7:$K$30,0),MATCH(Calculation!L16,Parameters!$L$6:$P$6,0))</f>
        <v>RC3</v>
      </c>
      <c r="O16">
        <f>VLOOKUP(L16,Parameters!$BT$7:$BU$11,2,FALSE)</f>
        <v>0.6</v>
      </c>
      <c r="P16" s="73">
        <f>VLOOKUP(M16,Parameters!$AN$7:$AO$30,2,FALSE)</f>
        <v>0.29247999999999996</v>
      </c>
      <c r="Q16">
        <f>VLOOKUP(R16,Parameters!$AR$7:$BO$27,24,FALSE)</f>
        <v>7</v>
      </c>
      <c r="R16" t="str">
        <f>Results!$C$4&amp;Calculation!N16</f>
        <v>Event 1RC3</v>
      </c>
      <c r="S16" s="81">
        <f>VLOOKUP(R16,Parameters!$AR$7:$BP$27,25,FALSE)</f>
        <v>6.9509439999999978E-2</v>
      </c>
      <c r="T16" s="18">
        <f>VLOOKUP(D16,Parameters!$C$14:$D$17,2,FALSE)</f>
        <v>0.75</v>
      </c>
      <c r="U16">
        <f>VLOOKUP(M16,Parameters!$BW$34:$BX$57,2,FALSE)</f>
        <v>1</v>
      </c>
      <c r="V16" s="73">
        <f t="shared" si="6"/>
        <v>5.2132079999999983E-2</v>
      </c>
      <c r="W16" s="73">
        <f>V16*Parameters!$AC$7</f>
        <v>1.0426415999999997E-2</v>
      </c>
      <c r="X16" s="73">
        <f>(VLOOKUP(R16,Parameters!$AR$7:$BC$27,7,FALSE)-VLOOKUP(R16,Parameters!$AR$7:$BC$27,12,FALSE))*T16*U16</f>
        <v>7.7999999999999944E-3</v>
      </c>
      <c r="Y16" s="73">
        <f>(VLOOKUP(R16,Parameters!$AR$7:$BM$27,12,FALSE)-VLOOKUP(R16,Parameters!$AR$7:$BM$27,17,FALSE))*T16*U16</f>
        <v>4.1495999999999991E-2</v>
      </c>
      <c r="Z16" s="73">
        <f>(VLOOKUP(R16,Parameters!$AR$7:$BM$27,17,FALSE)-VLOOKUP(R16,Parameters!$AR$7:$BM$27,22,FALSE))*T16*U16</f>
        <v>1.557192E-2</v>
      </c>
      <c r="AA16" s="51">
        <f>INDEX(Parameters!$AG$7:$AK$30,MATCH(Calculation!M16,Parameters!$AF$7:$AF$30,0),MATCH(Calculation!L16,Parameters!$AG$6:$AK$6,0))</f>
        <v>25000000</v>
      </c>
      <c r="AB16" s="73">
        <f>VLOOKUP(R16,Parameters!$AR$7:$BR$27,26,FALSE)</f>
        <v>1.6452037922858351</v>
      </c>
      <c r="AC16" s="73">
        <f>VLOOKUP(R16,Parameters!$AR$7:$BR$27,27,FALSE)</f>
        <v>0.77550803576684879</v>
      </c>
      <c r="AD16" s="20">
        <f t="shared" si="7"/>
        <v>40887965.877708614</v>
      </c>
      <c r="AE16" s="20">
        <f t="shared" si="0"/>
        <v>50000000</v>
      </c>
      <c r="AF16" s="20">
        <f t="shared" si="0"/>
        <v>50000000</v>
      </c>
      <c r="AG16" s="20">
        <f t="shared" si="0"/>
        <v>50000000</v>
      </c>
      <c r="AH16" s="20">
        <f t="shared" si="0"/>
        <v>50000000</v>
      </c>
      <c r="AI16" s="20">
        <f t="shared" si="0"/>
        <v>50000000</v>
      </c>
      <c r="AJ16" s="20">
        <f t="shared" si="0"/>
        <v>50000000</v>
      </c>
      <c r="AK16" s="20">
        <f t="shared" si="0"/>
        <v>50000000</v>
      </c>
      <c r="AL16" s="20">
        <f t="shared" si="0"/>
        <v>50000000</v>
      </c>
      <c r="AM16" s="20">
        <f t="shared" si="0"/>
        <v>50000000</v>
      </c>
      <c r="AN16" s="20">
        <f t="shared" si="0"/>
        <v>50000000</v>
      </c>
      <c r="AO16" s="20">
        <f t="shared" si="0"/>
        <v>50000000</v>
      </c>
      <c r="AP16" s="20">
        <f t="shared" si="0"/>
        <v>50000000</v>
      </c>
      <c r="AQ16" s="20">
        <f t="shared" si="0"/>
        <v>50000000</v>
      </c>
      <c r="AR16" s="20">
        <f t="shared" si="0"/>
        <v>50000000</v>
      </c>
      <c r="AS16" s="20">
        <f t="shared" si="0"/>
        <v>50000000</v>
      </c>
      <c r="AT16" s="20">
        <f t="shared" si="0"/>
        <v>50000000</v>
      </c>
      <c r="AU16" s="20">
        <f t="shared" si="0"/>
        <v>50000000</v>
      </c>
      <c r="AV16" s="20">
        <f t="shared" si="0"/>
        <v>50000000</v>
      </c>
      <c r="AW16" s="20">
        <f t="shared" si="0"/>
        <v>50000000</v>
      </c>
      <c r="AX16" s="20">
        <f t="shared" si="0"/>
        <v>50000000</v>
      </c>
      <c r="AY16" s="20">
        <f t="shared" si="8"/>
        <v>49566093.613224223</v>
      </c>
      <c r="AZ16" s="53">
        <f t="shared" si="9"/>
        <v>673104657.53424644</v>
      </c>
      <c r="BA16" s="15">
        <f>Parameters!$AC$8</f>
        <v>0.5</v>
      </c>
      <c r="BB16" s="20">
        <f t="shared" si="10"/>
        <v>336552328.76712322</v>
      </c>
      <c r="BC16" s="7">
        <f t="shared" si="1"/>
        <v>50000000</v>
      </c>
      <c r="BD16" s="51">
        <f>Parameters!$Y$7*Calculation!AA16</f>
        <v>12500000</v>
      </c>
      <c r="BE16" s="7">
        <f>Parameters!$Y$8*Calculation!AA16</f>
        <v>15000000</v>
      </c>
      <c r="BF16" s="7">
        <f>Parameters!$Y$9*Calculation!AA16</f>
        <v>17500000</v>
      </c>
      <c r="BG16" s="7">
        <f t="shared" si="11"/>
        <v>0</v>
      </c>
      <c r="BH16" s="7">
        <f t="shared" si="12"/>
        <v>0</v>
      </c>
      <c r="BI16" s="7">
        <f t="shared" si="13"/>
        <v>0</v>
      </c>
      <c r="BJ16" s="53">
        <f t="shared" si="3"/>
        <v>2583983.5575320935</v>
      </c>
      <c r="BK16" s="20">
        <f t="shared" si="4"/>
        <v>521320.79999999987</v>
      </c>
      <c r="BL16" s="20">
        <f t="shared" si="5"/>
        <v>0</v>
      </c>
      <c r="BM16" s="20">
        <f t="shared" si="14"/>
        <v>3105304.3575320933</v>
      </c>
      <c r="BO16" s="20"/>
      <c r="BS16" s="20"/>
      <c r="BT16" s="20"/>
      <c r="BU16" s="20"/>
    </row>
    <row r="17" spans="2:73" x14ac:dyDescent="0.2">
      <c r="B17" s="48">
        <v>13</v>
      </c>
      <c r="C17" s="48" t="s">
        <v>142</v>
      </c>
      <c r="D17" s="48" t="s">
        <v>138</v>
      </c>
      <c r="E17" s="48" t="s">
        <v>143</v>
      </c>
      <c r="F17" s="49">
        <v>50000000</v>
      </c>
      <c r="G17" s="49"/>
      <c r="H17" s="49">
        <v>10000000</v>
      </c>
      <c r="I17" s="49">
        <v>100000000000</v>
      </c>
      <c r="J17" s="49">
        <v>50000000</v>
      </c>
      <c r="K17" s="50">
        <v>0.5</v>
      </c>
      <c r="L17" s="52" t="str">
        <f>INDEX(Mapping!$F$3:$F$7,MATCH(Calculation!I17,Mapping!$G$2:$G$6,1))</f>
        <v>10b and above</v>
      </c>
      <c r="M17" t="str">
        <f>VLOOKUP(E17,Mapping!$I$3:$J$26,2,FALSE)</f>
        <v>20 Other</v>
      </c>
      <c r="N17" t="str">
        <f>INDEX(Parameters!$L$7:$P$30,MATCH(Calculation!M17,Parameters!$K$7:$K$30,0),MATCH(Calculation!L17,Parameters!$L$6:$P$6,0))</f>
        <v>RC2</v>
      </c>
      <c r="O17">
        <f>VLOOKUP(L17,Parameters!$BT$7:$BU$11,2,FALSE)</f>
        <v>0.6</v>
      </c>
      <c r="P17" s="73">
        <f>VLOOKUP(M17,Parameters!$AN$7:$AO$30,2,FALSE)</f>
        <v>0.2964</v>
      </c>
      <c r="Q17">
        <f>VLOOKUP(R17,Parameters!$AR$7:$BO$27,24,FALSE)</f>
        <v>5</v>
      </c>
      <c r="R17" t="str">
        <f>Results!$C$4&amp;Calculation!N17</f>
        <v>Event 1RC2</v>
      </c>
      <c r="S17" s="81">
        <f>VLOOKUP(R17,Parameters!$AR$7:$BP$27,25,FALSE)</f>
        <v>6.7452000000000012E-2</v>
      </c>
      <c r="T17" s="18">
        <f>VLOOKUP(D17,Parameters!$C$14:$D$17,2,FALSE)</f>
        <v>0.75</v>
      </c>
      <c r="U17">
        <f>VLOOKUP(M17,Parameters!$BW$34:$BX$57,2,FALSE)</f>
        <v>1</v>
      </c>
      <c r="V17" s="73">
        <f t="shared" si="6"/>
        <v>5.0589000000000009E-2</v>
      </c>
      <c r="W17" s="73">
        <f>V17*Parameters!$AC$7</f>
        <v>1.0117800000000003E-2</v>
      </c>
      <c r="X17" s="73">
        <f>(VLOOKUP(R17,Parameters!$AR$7:$BC$27,7,FALSE)-VLOOKUP(R17,Parameters!$AR$7:$BC$27,12,FALSE))*T17*U17</f>
        <v>1.1249999999999989E-2</v>
      </c>
      <c r="Y17" s="73">
        <f>(VLOOKUP(R17,Parameters!$AR$7:$BM$27,12,FALSE)-VLOOKUP(R17,Parameters!$AR$7:$BM$27,17,FALSE))*T17*U17</f>
        <v>5.4449999999999998E-2</v>
      </c>
      <c r="Z17" s="73">
        <f>(VLOOKUP(R17,Parameters!$AR$7:$BM$27,17,FALSE)-VLOOKUP(R17,Parameters!$AR$7:$BM$27,22,FALSE))*T17*U17</f>
        <v>1.8710999999999998E-2</v>
      </c>
      <c r="AA17" s="51">
        <f>INDEX(Parameters!$AG$7:$AK$30,MATCH(Calculation!M17,Parameters!$AF$7:$AF$30,0),MATCH(Calculation!L17,Parameters!$AG$6:$AK$6,0))</f>
        <v>25000000</v>
      </c>
      <c r="AB17" s="73">
        <f>VLOOKUP(R17,Parameters!$AR$7:$BR$27,26,FALSE)</f>
        <v>1.3087315556646217</v>
      </c>
      <c r="AC17" s="73">
        <f>VLOOKUP(R17,Parameters!$AR$7:$BR$27,27,FALSE)</f>
        <v>0.77550803576684968</v>
      </c>
      <c r="AD17" s="20">
        <f t="shared" si="7"/>
        <v>50000000</v>
      </c>
      <c r="AE17" s="20">
        <f t="shared" si="0"/>
        <v>50000000</v>
      </c>
      <c r="AF17" s="20">
        <f t="shared" si="0"/>
        <v>50000000</v>
      </c>
      <c r="AG17" s="20">
        <f t="shared" si="0"/>
        <v>50000000</v>
      </c>
      <c r="AH17" s="20">
        <f t="shared" si="0"/>
        <v>50000000</v>
      </c>
      <c r="AI17" s="20">
        <f t="shared" si="0"/>
        <v>50000000</v>
      </c>
      <c r="AJ17" s="20">
        <f t="shared" si="0"/>
        <v>50000000</v>
      </c>
      <c r="AK17" s="20">
        <f t="shared" si="0"/>
        <v>50000000</v>
      </c>
      <c r="AL17" s="20">
        <f t="shared" si="0"/>
        <v>50000000</v>
      </c>
      <c r="AM17" s="20">
        <f t="shared" si="0"/>
        <v>50000000</v>
      </c>
      <c r="AN17" s="20">
        <f t="shared" si="0"/>
        <v>50000000</v>
      </c>
      <c r="AO17" s="20">
        <f t="shared" si="0"/>
        <v>50000000</v>
      </c>
      <c r="AP17" s="20">
        <f t="shared" si="0"/>
        <v>50000000</v>
      </c>
      <c r="AQ17" s="20">
        <f t="shared" si="0"/>
        <v>50000000</v>
      </c>
      <c r="AR17" s="20">
        <f t="shared" si="0"/>
        <v>50000000</v>
      </c>
      <c r="AS17" s="20">
        <f t="shared" si="0"/>
        <v>50000000</v>
      </c>
      <c r="AT17" s="20">
        <f t="shared" ref="AT17:AX24" si="15">MIN($F17,MAX(0,_xlfn.LOGNORM.INV(AT$4,$AB17,$AC17)*$I17/365*$P17*$O17+$AA17-$G17-$H17))</f>
        <v>50000000</v>
      </c>
      <c r="AU17" s="20">
        <f t="shared" si="15"/>
        <v>50000000</v>
      </c>
      <c r="AV17" s="20">
        <f t="shared" si="15"/>
        <v>50000000</v>
      </c>
      <c r="AW17" s="20">
        <f t="shared" si="15"/>
        <v>50000000</v>
      </c>
      <c r="AX17" s="20">
        <f t="shared" si="15"/>
        <v>50000000</v>
      </c>
      <c r="AY17" s="20">
        <f t="shared" si="8"/>
        <v>50000000</v>
      </c>
      <c r="AZ17" s="53">
        <f t="shared" si="9"/>
        <v>243616438.3561644</v>
      </c>
      <c r="BA17" s="15">
        <f>Parameters!$AC$8</f>
        <v>0.5</v>
      </c>
      <c r="BB17" s="20">
        <f t="shared" si="10"/>
        <v>121808219.1780822</v>
      </c>
      <c r="BC17" s="7">
        <f t="shared" si="1"/>
        <v>50000000</v>
      </c>
      <c r="BD17" s="51">
        <f>Parameters!$Y$7*Calculation!AA17</f>
        <v>12500000</v>
      </c>
      <c r="BE17" s="7">
        <f>Parameters!$Y$8*Calculation!AA17</f>
        <v>15000000</v>
      </c>
      <c r="BF17" s="7">
        <f>Parameters!$Y$9*Calculation!AA17</f>
        <v>17500000</v>
      </c>
      <c r="BG17" s="7">
        <f t="shared" si="11"/>
        <v>2500000</v>
      </c>
      <c r="BH17" s="7">
        <f t="shared" si="12"/>
        <v>5000000</v>
      </c>
      <c r="BI17" s="7">
        <f t="shared" si="13"/>
        <v>7500000</v>
      </c>
      <c r="BJ17" s="53">
        <f t="shared" si="3"/>
        <v>1264725.0000000002</v>
      </c>
      <c r="BK17" s="20">
        <f t="shared" si="4"/>
        <v>252945.00000000009</v>
      </c>
      <c r="BL17" s="20">
        <f t="shared" si="5"/>
        <v>220353.75</v>
      </c>
      <c r="BM17" s="20">
        <f t="shared" si="14"/>
        <v>1738023.7500000002</v>
      </c>
      <c r="BO17" s="20"/>
      <c r="BS17" s="20"/>
      <c r="BT17" s="20"/>
      <c r="BU17" s="20"/>
    </row>
    <row r="18" spans="2:73" x14ac:dyDescent="0.2">
      <c r="B18" s="48">
        <v>14</v>
      </c>
      <c r="C18" s="48" t="s">
        <v>144</v>
      </c>
      <c r="D18" s="48" t="s">
        <v>138</v>
      </c>
      <c r="E18" s="48" t="s">
        <v>145</v>
      </c>
      <c r="F18" s="49">
        <v>10000000</v>
      </c>
      <c r="G18" s="49">
        <v>10000000</v>
      </c>
      <c r="H18" s="49"/>
      <c r="I18" s="49">
        <v>500000000</v>
      </c>
      <c r="J18" s="49">
        <v>10000000</v>
      </c>
      <c r="K18" s="50">
        <v>1</v>
      </c>
      <c r="L18" s="52" t="str">
        <f>INDEX(Mapping!$F$3:$F$7,MATCH(Calculation!I18,Mapping!$G$2:$G$6,1))</f>
        <v>100m-1000m</v>
      </c>
      <c r="M18" t="str">
        <f>VLOOKUP(E18,Mapping!$I$3:$J$26,2,FALSE)</f>
        <v>12 Defense / Military Contractor</v>
      </c>
      <c r="N18" t="str">
        <f>INDEX(Parameters!$L$7:$P$30,MATCH(Calculation!M18,Parameters!$K$7:$K$30,0),MATCH(Calculation!L18,Parameters!$L$6:$P$6,0))</f>
        <v>RC3</v>
      </c>
      <c r="O18">
        <f>VLOOKUP(L18,Parameters!$BT$7:$BU$11,2,FALSE)</f>
        <v>0.75</v>
      </c>
      <c r="P18" s="73">
        <f>VLOOKUP(M18,Parameters!$AN$7:$AO$30,2,FALSE)</f>
        <v>0.22789999999999999</v>
      </c>
      <c r="Q18">
        <f>VLOOKUP(R18,Parameters!$AR$7:$BO$27,24,FALSE)</f>
        <v>7</v>
      </c>
      <c r="R18" t="str">
        <f>Results!$C$4&amp;Calculation!N18</f>
        <v>Event 1RC3</v>
      </c>
      <c r="S18" s="81">
        <f>VLOOKUP(R18,Parameters!$AR$7:$BP$27,25,FALSE)</f>
        <v>6.9509439999999978E-2</v>
      </c>
      <c r="T18" s="18">
        <f>VLOOKUP(D18,Parameters!$C$14:$D$17,2,FALSE)</f>
        <v>0.75</v>
      </c>
      <c r="U18">
        <f>VLOOKUP(M18,Parameters!$BW$34:$BX$57,2,FALSE)</f>
        <v>1</v>
      </c>
      <c r="V18" s="73">
        <f t="shared" si="6"/>
        <v>5.2132079999999983E-2</v>
      </c>
      <c r="W18" s="73">
        <f>V18*Parameters!$AC$7</f>
        <v>1.0426415999999997E-2</v>
      </c>
      <c r="X18" s="73">
        <f>(VLOOKUP(R18,Parameters!$AR$7:$BC$27,7,FALSE)-VLOOKUP(R18,Parameters!$AR$7:$BC$27,12,FALSE))*T18*U18</f>
        <v>7.7999999999999944E-3</v>
      </c>
      <c r="Y18" s="73">
        <f>(VLOOKUP(R18,Parameters!$AR$7:$BM$27,12,FALSE)-VLOOKUP(R18,Parameters!$AR$7:$BM$27,17,FALSE))*T18*U18</f>
        <v>4.1495999999999991E-2</v>
      </c>
      <c r="Z18" s="73">
        <f>(VLOOKUP(R18,Parameters!$AR$7:$BM$27,17,FALSE)-VLOOKUP(R18,Parameters!$AR$7:$BM$27,22,FALSE))*T18*U18</f>
        <v>1.557192E-2</v>
      </c>
      <c r="AA18" s="51">
        <f>INDEX(Parameters!$AG$7:$AK$30,MATCH(Calculation!M18,Parameters!$AF$7:$AF$30,0),MATCH(Calculation!L18,Parameters!$AG$6:$AK$6,0))</f>
        <v>1000000</v>
      </c>
      <c r="AB18" s="73">
        <f>VLOOKUP(R18,Parameters!$AR$7:$BR$27,26,FALSE)</f>
        <v>1.6452037922858351</v>
      </c>
      <c r="AC18" s="73">
        <f>VLOOKUP(R18,Parameters!$AR$7:$BR$27,27,FALSE)</f>
        <v>0.77550803576684879</v>
      </c>
      <c r="AD18" s="20">
        <f t="shared" si="7"/>
        <v>0</v>
      </c>
      <c r="AE18" s="20">
        <f t="shared" si="7"/>
        <v>0</v>
      </c>
      <c r="AF18" s="20">
        <f t="shared" si="7"/>
        <v>0</v>
      </c>
      <c r="AG18" s="20">
        <f t="shared" si="7"/>
        <v>0</v>
      </c>
      <c r="AH18" s="20">
        <f t="shared" si="7"/>
        <v>0</v>
      </c>
      <c r="AI18" s="20">
        <f t="shared" si="7"/>
        <v>0</v>
      </c>
      <c r="AJ18" s="20">
        <f t="shared" si="7"/>
        <v>0</v>
      </c>
      <c r="AK18" s="20">
        <f t="shared" si="7"/>
        <v>0</v>
      </c>
      <c r="AL18" s="20">
        <f t="shared" si="7"/>
        <v>0</v>
      </c>
      <c r="AM18" s="20">
        <f t="shared" si="7"/>
        <v>0</v>
      </c>
      <c r="AN18" s="20">
        <f t="shared" si="7"/>
        <v>0</v>
      </c>
      <c r="AO18" s="20">
        <f t="shared" si="7"/>
        <v>0</v>
      </c>
      <c r="AP18" s="20">
        <f t="shared" si="7"/>
        <v>0</v>
      </c>
      <c r="AQ18" s="20">
        <f t="shared" si="7"/>
        <v>0</v>
      </c>
      <c r="AR18" s="20">
        <f t="shared" si="7"/>
        <v>0</v>
      </c>
      <c r="AS18" s="20">
        <f t="shared" si="7"/>
        <v>0</v>
      </c>
      <c r="AT18" s="20">
        <f t="shared" si="15"/>
        <v>0</v>
      </c>
      <c r="AU18" s="20">
        <f t="shared" si="15"/>
        <v>0</v>
      </c>
      <c r="AV18" s="20">
        <f t="shared" si="15"/>
        <v>0</v>
      </c>
      <c r="AW18" s="20">
        <f t="shared" si="15"/>
        <v>0</v>
      </c>
      <c r="AX18" s="20">
        <f t="shared" si="15"/>
        <v>0</v>
      </c>
      <c r="AY18" s="20">
        <f t="shared" si="8"/>
        <v>0</v>
      </c>
      <c r="AZ18" s="53">
        <f t="shared" si="9"/>
        <v>1639006.8493150685</v>
      </c>
      <c r="BA18" s="15">
        <f>Parameters!$AC$8</f>
        <v>0.5</v>
      </c>
      <c r="BB18" s="20">
        <f t="shared" si="10"/>
        <v>819503.42465753423</v>
      </c>
      <c r="BC18" s="7">
        <f t="shared" si="1"/>
        <v>0</v>
      </c>
      <c r="BD18" s="51">
        <f>Parameters!$Y$7*Calculation!AA18</f>
        <v>500000</v>
      </c>
      <c r="BE18" s="7">
        <f>Parameters!$Y$8*Calculation!AA18</f>
        <v>600000</v>
      </c>
      <c r="BF18" s="7">
        <f>Parameters!$Y$9*Calculation!AA18</f>
        <v>700000</v>
      </c>
      <c r="BG18" s="7">
        <f t="shared" si="11"/>
        <v>0</v>
      </c>
      <c r="BH18" s="7">
        <f t="shared" si="12"/>
        <v>0</v>
      </c>
      <c r="BI18" s="7">
        <f t="shared" si="13"/>
        <v>0</v>
      </c>
      <c r="BJ18" s="53">
        <f t="shared" si="3"/>
        <v>0</v>
      </c>
      <c r="BK18" s="20">
        <f t="shared" si="4"/>
        <v>0</v>
      </c>
      <c r="BL18" s="20">
        <f t="shared" si="5"/>
        <v>0</v>
      </c>
      <c r="BM18" s="20">
        <f t="shared" si="14"/>
        <v>0</v>
      </c>
      <c r="BO18" s="20"/>
      <c r="BS18" s="20"/>
      <c r="BT18" s="20"/>
      <c r="BU18" s="20"/>
    </row>
    <row r="19" spans="2:73" x14ac:dyDescent="0.2">
      <c r="B19" s="48">
        <v>15</v>
      </c>
      <c r="C19" s="48" t="s">
        <v>146</v>
      </c>
      <c r="D19" s="48" t="s">
        <v>138</v>
      </c>
      <c r="E19" s="48" t="s">
        <v>147</v>
      </c>
      <c r="F19" s="49">
        <v>20000000</v>
      </c>
      <c r="G19" s="49"/>
      <c r="H19" s="49">
        <v>1000000</v>
      </c>
      <c r="I19" s="49">
        <v>400000000</v>
      </c>
      <c r="J19" s="49">
        <v>20000000</v>
      </c>
      <c r="K19" s="50">
        <v>0.25</v>
      </c>
      <c r="L19" s="52" t="str">
        <f>INDEX(Mapping!$F$3:$F$7,MATCH(Calculation!I19,Mapping!$G$2:$G$6,1))</f>
        <v>100m-1000m</v>
      </c>
      <c r="M19" t="str">
        <f>VLOOKUP(E19,Mapping!$I$3:$J$26,2,FALSE)</f>
        <v>13 Entertainment &amp; Media</v>
      </c>
      <c r="N19" t="str">
        <f>INDEX(Parameters!$L$7:$P$30,MATCH(Calculation!M19,Parameters!$K$7:$K$30,0),MATCH(Calculation!L19,Parameters!$L$6:$P$6,0))</f>
        <v>RC3</v>
      </c>
      <c r="O19">
        <f>VLOOKUP(L19,Parameters!$BT$7:$BU$11,2,FALSE)</f>
        <v>0.75</v>
      </c>
      <c r="P19" s="73">
        <f>VLOOKUP(M19,Parameters!$AN$7:$AO$30,2,FALSE)</f>
        <v>0.40179999999999999</v>
      </c>
      <c r="Q19">
        <f>VLOOKUP(R19,Parameters!$AR$7:$BO$27,24,FALSE)</f>
        <v>7</v>
      </c>
      <c r="R19" t="str">
        <f>Results!$C$4&amp;Calculation!N19</f>
        <v>Event 1RC3</v>
      </c>
      <c r="S19" s="81">
        <f>VLOOKUP(R19,Parameters!$AR$7:$BP$27,25,FALSE)</f>
        <v>6.9509439999999978E-2</v>
      </c>
      <c r="T19" s="18">
        <f>VLOOKUP(D19,Parameters!$C$14:$D$17,2,FALSE)</f>
        <v>0.75</v>
      </c>
      <c r="U19">
        <f>VLOOKUP(M19,Parameters!$BW$34:$BX$57,2,FALSE)</f>
        <v>1</v>
      </c>
      <c r="V19" s="73">
        <f t="shared" si="6"/>
        <v>5.2132079999999983E-2</v>
      </c>
      <c r="W19" s="73">
        <f>V19*Parameters!$AC$7</f>
        <v>1.0426415999999997E-2</v>
      </c>
      <c r="X19" s="73">
        <f>(VLOOKUP(R19,Parameters!$AR$7:$BC$27,7,FALSE)-VLOOKUP(R19,Parameters!$AR$7:$BC$27,12,FALSE))*T19*U19</f>
        <v>7.7999999999999944E-3</v>
      </c>
      <c r="Y19" s="73">
        <f>(VLOOKUP(R19,Parameters!$AR$7:$BM$27,12,FALSE)-VLOOKUP(R19,Parameters!$AR$7:$BM$27,17,FALSE))*T19*U19</f>
        <v>4.1495999999999991E-2</v>
      </c>
      <c r="Z19" s="73">
        <f>(VLOOKUP(R19,Parameters!$AR$7:$BM$27,17,FALSE)-VLOOKUP(R19,Parameters!$AR$7:$BM$27,22,FALSE))*T19*U19</f>
        <v>1.557192E-2</v>
      </c>
      <c r="AA19" s="51">
        <f>INDEX(Parameters!$AG$7:$AK$30,MATCH(Calculation!M19,Parameters!$AF$7:$AF$30,0),MATCH(Calculation!L19,Parameters!$AG$6:$AK$6,0))</f>
        <v>1000000</v>
      </c>
      <c r="AB19" s="73">
        <f>VLOOKUP(R19,Parameters!$AR$7:$BR$27,26,FALSE)</f>
        <v>1.6452037922858351</v>
      </c>
      <c r="AC19" s="73">
        <f>VLOOKUP(R19,Parameters!$AR$7:$BR$27,27,FALSE)</f>
        <v>0.77550803576684879</v>
      </c>
      <c r="AD19" s="20">
        <f t="shared" si="7"/>
        <v>398008.27996498346</v>
      </c>
      <c r="AE19" s="20">
        <f t="shared" si="7"/>
        <v>477921.34100308898</v>
      </c>
      <c r="AF19" s="20">
        <f t="shared" si="7"/>
        <v>633455.54800927057</v>
      </c>
      <c r="AG19" s="20">
        <f t="shared" si="7"/>
        <v>766075.66455205576</v>
      </c>
      <c r="AH19" s="20">
        <f t="shared" si="7"/>
        <v>891013.28362755338</v>
      </c>
      <c r="AI19" s="20">
        <f t="shared" si="7"/>
        <v>1014317.3913764465</v>
      </c>
      <c r="AJ19" s="20">
        <f t="shared" si="7"/>
        <v>1139524.7336734831</v>
      </c>
      <c r="AK19" s="20">
        <f t="shared" si="7"/>
        <v>1269304.3172796513</v>
      </c>
      <c r="AL19" s="20">
        <f t="shared" si="7"/>
        <v>1406093.6132601891</v>
      </c>
      <c r="AM19" s="20">
        <f t="shared" si="7"/>
        <v>1552453.6859850762</v>
      </c>
      <c r="AN19" s="20">
        <f t="shared" si="7"/>
        <v>1711359.5049154488</v>
      </c>
      <c r="AO19" s="20">
        <f t="shared" si="7"/>
        <v>1886530.5815587491</v>
      </c>
      <c r="AP19" s="20">
        <f t="shared" si="7"/>
        <v>2082899.2660551271</v>
      </c>
      <c r="AQ19" s="20">
        <f t="shared" si="7"/>
        <v>2307367.3627308644</v>
      </c>
      <c r="AR19" s="20">
        <f t="shared" si="7"/>
        <v>2570151.6329733725</v>
      </c>
      <c r="AS19" s="20">
        <f t="shared" si="7"/>
        <v>2887411.1594301686</v>
      </c>
      <c r="AT19" s="20">
        <f t="shared" si="15"/>
        <v>3286989.5532204863</v>
      </c>
      <c r="AU19" s="20">
        <f t="shared" si="15"/>
        <v>3823057.5523854643</v>
      </c>
      <c r="AV19" s="20">
        <f t="shared" si="15"/>
        <v>4623452.0547945201</v>
      </c>
      <c r="AW19" s="20">
        <f t="shared" si="15"/>
        <v>6128103.3169965055</v>
      </c>
      <c r="AX19" s="20">
        <f t="shared" si="15"/>
        <v>7358518.6602703836</v>
      </c>
      <c r="AY19" s="20">
        <f t="shared" si="8"/>
        <v>2295905.1668601381</v>
      </c>
      <c r="AZ19" s="53">
        <f t="shared" si="9"/>
        <v>2311726.0273972605</v>
      </c>
      <c r="BA19" s="15">
        <f>Parameters!$AC$8</f>
        <v>0.5</v>
      </c>
      <c r="BB19" s="20">
        <f t="shared" si="10"/>
        <v>1155863.0136986303</v>
      </c>
      <c r="BC19" s="7">
        <f t="shared" si="1"/>
        <v>155863.01369863027</v>
      </c>
      <c r="BD19" s="51">
        <f>Parameters!$Y$7*Calculation!AA19</f>
        <v>500000</v>
      </c>
      <c r="BE19" s="7">
        <f>Parameters!$Y$8*Calculation!AA19</f>
        <v>600000</v>
      </c>
      <c r="BF19" s="7">
        <f>Parameters!$Y$9*Calculation!AA19</f>
        <v>700000</v>
      </c>
      <c r="BG19" s="7">
        <f t="shared" si="11"/>
        <v>0</v>
      </c>
      <c r="BH19" s="7">
        <f t="shared" si="12"/>
        <v>0</v>
      </c>
      <c r="BI19" s="7">
        <f t="shared" si="13"/>
        <v>0</v>
      </c>
      <c r="BJ19" s="53">
        <f t="shared" si="3"/>
        <v>29922.577957791505</v>
      </c>
      <c r="BK19" s="20">
        <f t="shared" si="4"/>
        <v>406.27315495890434</v>
      </c>
      <c r="BL19" s="20">
        <f t="shared" si="5"/>
        <v>0</v>
      </c>
      <c r="BM19" s="20">
        <f t="shared" si="14"/>
        <v>30328.85111275041</v>
      </c>
      <c r="BO19" s="20"/>
      <c r="BS19" s="20"/>
      <c r="BT19" s="20"/>
      <c r="BU19" s="20"/>
    </row>
    <row r="20" spans="2:73" x14ac:dyDescent="0.2">
      <c r="B20" s="48">
        <v>16</v>
      </c>
      <c r="C20" s="48" t="s">
        <v>148</v>
      </c>
      <c r="D20" s="48" t="s">
        <v>149</v>
      </c>
      <c r="E20" s="48" t="s">
        <v>150</v>
      </c>
      <c r="F20" s="49">
        <v>5000000</v>
      </c>
      <c r="G20" s="49">
        <v>1000000</v>
      </c>
      <c r="H20" s="49"/>
      <c r="I20" s="49">
        <v>70000000</v>
      </c>
      <c r="J20" s="49">
        <v>2500000</v>
      </c>
      <c r="K20" s="50">
        <v>1</v>
      </c>
      <c r="L20" s="52" t="str">
        <f>INDEX(Mapping!$F$3:$F$7,MATCH(Calculation!I20,Mapping!$G$2:$G$6,1))</f>
        <v>20m-100m</v>
      </c>
      <c r="M20" t="str">
        <f>VLOOKUP(E20,Mapping!$I$3:$J$26,2,FALSE)</f>
        <v>14 Transportation/Aviation/Aerospace</v>
      </c>
      <c r="N20" t="str">
        <f>INDEX(Parameters!$L$7:$P$30,MATCH(Calculation!M20,Parameters!$K$7:$K$30,0),MATCH(Calculation!L20,Parameters!$L$6:$P$6,0))</f>
        <v>RC5</v>
      </c>
      <c r="O20">
        <f>VLOOKUP(L20,Parameters!$BT$7:$BU$11,2,FALSE)</f>
        <v>0.82499999999999996</v>
      </c>
      <c r="P20" s="73">
        <f>VLOOKUP(M20,Parameters!$AN$7:$AO$30,2,FALSE)</f>
        <v>0.25274000000000002</v>
      </c>
      <c r="Q20">
        <f>VLOOKUP(R20,Parameters!$AR$7:$BO$27,24,FALSE)</f>
        <v>15</v>
      </c>
      <c r="R20" t="str">
        <f>Results!$C$4&amp;Calculation!N20</f>
        <v>Event 1RC5</v>
      </c>
      <c r="S20" s="81">
        <f>VLOOKUP(R20,Parameters!$AR$7:$BP$27,25,FALSE)</f>
        <v>6.3255959999999986E-2</v>
      </c>
      <c r="T20" s="18">
        <f>VLOOKUP(D20,Parameters!$C$14:$D$17,2,FALSE)</f>
        <v>0.75</v>
      </c>
      <c r="U20">
        <f>VLOOKUP(M20,Parameters!$BW$34:$BX$57,2,FALSE)</f>
        <v>1</v>
      </c>
      <c r="V20" s="73">
        <f t="shared" si="6"/>
        <v>4.7441969999999986E-2</v>
      </c>
      <c r="W20" s="73">
        <f>V20*Parameters!$AC$7</f>
        <v>9.4883939999999972E-3</v>
      </c>
      <c r="X20" s="73">
        <f>(VLOOKUP(R20,Parameters!$AR$7:$BC$27,7,FALSE)-VLOOKUP(R20,Parameters!$AR$7:$BC$27,12,FALSE))*T20*U20</f>
        <v>2.7000000000000045E-3</v>
      </c>
      <c r="Y20" s="73">
        <f>(VLOOKUP(R20,Parameters!$AR$7:$BM$27,12,FALSE)-VLOOKUP(R20,Parameters!$AR$7:$BM$27,17,FALSE))*T20*U20</f>
        <v>2.1141000000000004E-2</v>
      </c>
      <c r="Z20" s="73">
        <f>(VLOOKUP(R20,Parameters!$AR$7:$BM$27,17,FALSE)-VLOOKUP(R20,Parameters!$AR$7:$BM$27,22,FALSE))*T20*U20</f>
        <v>9.7170300000000015E-3</v>
      </c>
      <c r="AA20" s="51">
        <f>INDEX(Parameters!$AG$7:$AK$30,MATCH(Calculation!M20,Parameters!$AF$7:$AF$30,0),MATCH(Calculation!L20,Parameters!$AG$6:$AK$6,0))</f>
        <v>300000</v>
      </c>
      <c r="AB20" s="73">
        <f>VLOOKUP(R20,Parameters!$AR$7:$BR$27,26,FALSE)</f>
        <v>2.4073438443327317</v>
      </c>
      <c r="AC20" s="73">
        <f>VLOOKUP(R20,Parameters!$AR$7:$BR$27,27,FALSE)</f>
        <v>0.77550803576684924</v>
      </c>
      <c r="AD20" s="20">
        <f t="shared" si="7"/>
        <v>0</v>
      </c>
      <c r="AE20" s="20">
        <f t="shared" si="7"/>
        <v>0</v>
      </c>
      <c r="AF20" s="20">
        <f t="shared" si="7"/>
        <v>0</v>
      </c>
      <c r="AG20" s="20">
        <f t="shared" si="7"/>
        <v>0</v>
      </c>
      <c r="AH20" s="20">
        <f t="shared" si="7"/>
        <v>0</v>
      </c>
      <c r="AI20" s="20">
        <f t="shared" si="7"/>
        <v>0</v>
      </c>
      <c r="AJ20" s="20">
        <f t="shared" si="7"/>
        <v>0</v>
      </c>
      <c r="AK20" s="20">
        <f t="shared" si="7"/>
        <v>0</v>
      </c>
      <c r="AL20" s="20">
        <f t="shared" si="7"/>
        <v>0</v>
      </c>
      <c r="AM20" s="20">
        <f t="shared" si="7"/>
        <v>0</v>
      </c>
      <c r="AN20" s="20">
        <f t="shared" si="7"/>
        <v>0</v>
      </c>
      <c r="AO20" s="20">
        <f t="shared" si="7"/>
        <v>0</v>
      </c>
      <c r="AP20" s="20">
        <f t="shared" si="7"/>
        <v>0</v>
      </c>
      <c r="AQ20" s="20">
        <f t="shared" si="7"/>
        <v>0</v>
      </c>
      <c r="AR20" s="20">
        <f t="shared" si="7"/>
        <v>0</v>
      </c>
      <c r="AS20" s="20">
        <f t="shared" si="7"/>
        <v>49198.039520115126</v>
      </c>
      <c r="AT20" s="20">
        <f t="shared" si="15"/>
        <v>152876.84822894516</v>
      </c>
      <c r="AU20" s="20">
        <f t="shared" si="15"/>
        <v>291970.68414219702</v>
      </c>
      <c r="AV20" s="20">
        <f t="shared" si="15"/>
        <v>499649.45205479464</v>
      </c>
      <c r="AW20" s="20">
        <f t="shared" si="15"/>
        <v>890062.07899278286</v>
      </c>
      <c r="AX20" s="20">
        <f t="shared" si="15"/>
        <v>1209318.572812729</v>
      </c>
      <c r="AY20" s="20">
        <f t="shared" si="8"/>
        <v>147289.31789293163</v>
      </c>
      <c r="AZ20" s="53">
        <f t="shared" si="9"/>
        <v>599824.72602739732</v>
      </c>
      <c r="BA20" s="15">
        <f>Parameters!$AC$8</f>
        <v>0.5</v>
      </c>
      <c r="BB20" s="20">
        <f t="shared" si="10"/>
        <v>299912.36301369866</v>
      </c>
      <c r="BC20" s="7">
        <f t="shared" si="1"/>
        <v>0</v>
      </c>
      <c r="BD20" s="51">
        <f>Parameters!$Y$7*Calculation!AA20</f>
        <v>150000</v>
      </c>
      <c r="BE20" s="7">
        <f>Parameters!$Y$8*Calculation!AA20</f>
        <v>180000</v>
      </c>
      <c r="BF20" s="7">
        <f>Parameters!$Y$9*Calculation!AA20</f>
        <v>210000</v>
      </c>
      <c r="BG20" s="7">
        <f t="shared" si="11"/>
        <v>0</v>
      </c>
      <c r="BH20" s="7">
        <f t="shared" si="12"/>
        <v>0</v>
      </c>
      <c r="BI20" s="7">
        <f t="shared" si="13"/>
        <v>0</v>
      </c>
      <c r="BJ20" s="53">
        <f t="shared" si="3"/>
        <v>6987.6954007969234</v>
      </c>
      <c r="BK20" s="20">
        <f t="shared" si="4"/>
        <v>0</v>
      </c>
      <c r="BL20" s="20">
        <f t="shared" si="5"/>
        <v>0</v>
      </c>
      <c r="BM20" s="20">
        <f t="shared" si="14"/>
        <v>6987.6954007969234</v>
      </c>
      <c r="BO20" s="20"/>
      <c r="BS20" s="20"/>
      <c r="BT20" s="20"/>
      <c r="BU20" s="20"/>
    </row>
    <row r="21" spans="2:73" x14ac:dyDescent="0.2">
      <c r="B21" s="48">
        <v>17</v>
      </c>
      <c r="C21" s="48" t="s">
        <v>151</v>
      </c>
      <c r="D21" s="48" t="s">
        <v>149</v>
      </c>
      <c r="E21" s="48" t="s">
        <v>152</v>
      </c>
      <c r="F21" s="49">
        <v>2000000</v>
      </c>
      <c r="G21" s="49"/>
      <c r="H21" s="49">
        <v>100000</v>
      </c>
      <c r="I21" s="49">
        <v>30000000</v>
      </c>
      <c r="J21" s="49">
        <v>2000000</v>
      </c>
      <c r="K21" s="50">
        <v>1</v>
      </c>
      <c r="L21" s="52" t="str">
        <f>INDEX(Mapping!$F$3:$F$7,MATCH(Calculation!I21,Mapping!$G$2:$G$6,1))</f>
        <v>20m-100m</v>
      </c>
      <c r="M21" t="str">
        <f>VLOOKUP(E21,Mapping!$I$3:$J$26,2,FALSE)</f>
        <v>15 Public Authority; NGOs; Non-Profit</v>
      </c>
      <c r="N21" t="str">
        <f>INDEX(Parameters!$L$7:$P$30,MATCH(Calculation!M21,Parameters!$K$7:$K$30,0),MATCH(Calculation!L21,Parameters!$L$6:$P$6,0))</f>
        <v>RC6</v>
      </c>
      <c r="O21">
        <f>VLOOKUP(L21,Parameters!$BT$7:$BU$11,2,FALSE)</f>
        <v>0.82499999999999996</v>
      </c>
      <c r="P21" s="73">
        <f>VLOOKUP(M21,Parameters!$AN$7:$AO$30,2,FALSE)</f>
        <v>0.2964</v>
      </c>
      <c r="Q21">
        <f>VLOOKUP(R21,Parameters!$AR$7:$BO$27,24,FALSE)</f>
        <v>18</v>
      </c>
      <c r="R21" t="str">
        <f>Results!$C$4&amp;Calculation!N21</f>
        <v>Event 1RC6</v>
      </c>
      <c r="S21" s="81">
        <f>VLOOKUP(R21,Parameters!$AR$7:$BP$27,25,FALSE)</f>
        <v>5.6770979999999999E-2</v>
      </c>
      <c r="T21" s="18">
        <f>VLOOKUP(D21,Parameters!$C$14:$D$17,2,FALSE)</f>
        <v>0.75</v>
      </c>
      <c r="U21">
        <f>VLOOKUP(M21,Parameters!$BW$34:$BX$57,2,FALSE)</f>
        <v>1</v>
      </c>
      <c r="V21" s="73">
        <f t="shared" si="6"/>
        <v>4.2578234999999999E-2</v>
      </c>
      <c r="W21" s="73">
        <f>V21*Parameters!$AC$7</f>
        <v>8.5156469999999995E-3</v>
      </c>
      <c r="X21" s="73">
        <f>(VLOOKUP(R21,Parameters!$AR$7:$BC$27,7,FALSE)-VLOOKUP(R21,Parameters!$AR$7:$BC$27,12,FALSE))*T21*U21</f>
        <v>1.0500000000000093E-3</v>
      </c>
      <c r="Y21" s="73">
        <f>(VLOOKUP(R21,Parameters!$AR$7:$BM$27,12,FALSE)-VLOOKUP(R21,Parameters!$AR$7:$BM$27,17,FALSE))*T21*U21</f>
        <v>1.30095E-2</v>
      </c>
      <c r="Z21" s="73">
        <f>(VLOOKUP(R21,Parameters!$AR$7:$BM$27,17,FALSE)-VLOOKUP(R21,Parameters!$AR$7:$BM$27,22,FALSE))*T21*U21</f>
        <v>6.3622650000000006E-3</v>
      </c>
      <c r="AA21" s="51">
        <f>INDEX(Parameters!$AG$7:$AK$30,MATCH(Calculation!M21,Parameters!$AF$7:$AF$30,0),MATCH(Calculation!L21,Parameters!$AG$6:$AK$6,0))</f>
        <v>300000</v>
      </c>
      <c r="AB21" s="73">
        <f>VLOOKUP(R21,Parameters!$AR$7:$BR$27,26,FALSE)</f>
        <v>2.5896654011266862</v>
      </c>
      <c r="AC21" s="73">
        <f>VLOOKUP(R21,Parameters!$AR$7:$BR$27,27,FALSE)</f>
        <v>0.77550803576684924</v>
      </c>
      <c r="AD21" s="20">
        <f t="shared" si="7"/>
        <v>262285.76280299621</v>
      </c>
      <c r="AE21" s="20">
        <f t="shared" si="7"/>
        <v>274791.64827130531</v>
      </c>
      <c r="AF21" s="20">
        <f t="shared" si="7"/>
        <v>299131.76181414782</v>
      </c>
      <c r="AG21" s="20">
        <f t="shared" si="7"/>
        <v>319885.96602973947</v>
      </c>
      <c r="AH21" s="20">
        <f t="shared" si="7"/>
        <v>339437.90828479046</v>
      </c>
      <c r="AI21" s="20">
        <f t="shared" si="7"/>
        <v>358734.21641325048</v>
      </c>
      <c r="AJ21" s="20">
        <f t="shared" si="7"/>
        <v>378328.36863589485</v>
      </c>
      <c r="AK21" s="20">
        <f t="shared" si="7"/>
        <v>398638.0475246773</v>
      </c>
      <c r="AL21" s="20">
        <f t="shared" si="7"/>
        <v>420044.70178870973</v>
      </c>
      <c r="AM21" s="20">
        <f t="shared" si="7"/>
        <v>442949.12170272181</v>
      </c>
      <c r="AN21" s="20">
        <f t="shared" si="7"/>
        <v>467816.8710540263</v>
      </c>
      <c r="AO21" s="20">
        <f t="shared" si="7"/>
        <v>495230.0297217553</v>
      </c>
      <c r="AP21" s="20">
        <f t="shared" si="7"/>
        <v>525960.47911229043</v>
      </c>
      <c r="AQ21" s="20">
        <f t="shared" si="7"/>
        <v>561088.30767810578</v>
      </c>
      <c r="AR21" s="20">
        <f t="shared" si="7"/>
        <v>602212.37355463323</v>
      </c>
      <c r="AS21" s="20">
        <f t="shared" si="7"/>
        <v>651861.47033628169</v>
      </c>
      <c r="AT21" s="20">
        <f t="shared" si="15"/>
        <v>714392.94596039597</v>
      </c>
      <c r="AU21" s="20">
        <f t="shared" si="15"/>
        <v>798284.17617601925</v>
      </c>
      <c r="AV21" s="20">
        <f t="shared" si="15"/>
        <v>923540.82191780827</v>
      </c>
      <c r="AW21" s="20">
        <f t="shared" si="15"/>
        <v>1159009.1685235305</v>
      </c>
      <c r="AX21" s="20">
        <f t="shared" si="15"/>
        <v>1351561.3391142187</v>
      </c>
      <c r="AY21" s="20">
        <f t="shared" si="8"/>
        <v>559294.5469722522</v>
      </c>
      <c r="AZ21" s="53">
        <f t="shared" si="9"/>
        <v>361770.41095890407</v>
      </c>
      <c r="BA21" s="15">
        <f>Parameters!$AC$8</f>
        <v>0.5</v>
      </c>
      <c r="BB21" s="20">
        <f t="shared" si="10"/>
        <v>180885.20547945204</v>
      </c>
      <c r="BC21" s="7">
        <f t="shared" si="1"/>
        <v>80885.205479452037</v>
      </c>
      <c r="BD21" s="51">
        <f>Parameters!$Y$7*Calculation!AA21</f>
        <v>150000</v>
      </c>
      <c r="BE21" s="7">
        <f>Parameters!$Y$8*Calculation!AA21</f>
        <v>180000</v>
      </c>
      <c r="BF21" s="7">
        <f>Parameters!$Y$9*Calculation!AA21</f>
        <v>210000</v>
      </c>
      <c r="BG21" s="7">
        <f t="shared" si="11"/>
        <v>50000</v>
      </c>
      <c r="BH21" s="7">
        <f t="shared" si="12"/>
        <v>80000</v>
      </c>
      <c r="BI21" s="7">
        <f t="shared" si="13"/>
        <v>110000</v>
      </c>
      <c r="BJ21" s="53">
        <f t="shared" si="3"/>
        <v>23813.774655203091</v>
      </c>
      <c r="BK21" s="20">
        <f t="shared" si="4"/>
        <v>688.78985738547931</v>
      </c>
      <c r="BL21" s="20">
        <f t="shared" si="5"/>
        <v>1793.1091500000007</v>
      </c>
      <c r="BM21" s="20">
        <f t="shared" si="14"/>
        <v>26295.673662588571</v>
      </c>
      <c r="BO21" s="20"/>
      <c r="BS21" s="20"/>
      <c r="BT21" s="55"/>
      <c r="BU21" s="20"/>
    </row>
    <row r="22" spans="2:73" x14ac:dyDescent="0.2">
      <c r="B22" s="48">
        <v>18</v>
      </c>
      <c r="C22" s="48" t="s">
        <v>153</v>
      </c>
      <c r="D22" s="48" t="s">
        <v>149</v>
      </c>
      <c r="E22" s="48" t="s">
        <v>154</v>
      </c>
      <c r="F22" s="49">
        <v>1000000</v>
      </c>
      <c r="G22" s="49">
        <v>25000</v>
      </c>
      <c r="H22" s="49"/>
      <c r="I22" s="49">
        <v>5000000</v>
      </c>
      <c r="J22" s="49">
        <v>0</v>
      </c>
      <c r="K22" s="50">
        <v>1</v>
      </c>
      <c r="L22" s="52" t="str">
        <f>INDEX(Mapping!$F$3:$F$7,MATCH(Calculation!I22,Mapping!$G$2:$G$6,1))</f>
        <v>0-20m</v>
      </c>
      <c r="M22" t="str">
        <f>VLOOKUP(E22,Mapping!$I$3:$J$26,2,FALSE)</f>
        <v>16 Real Estate, Property &amp; Construction</v>
      </c>
      <c r="N22" t="str">
        <f>INDEX(Parameters!$L$7:$P$30,MATCH(Calculation!M22,Parameters!$K$7:$K$30,0),MATCH(Calculation!L22,Parameters!$L$6:$P$6,0))</f>
        <v>RC7</v>
      </c>
      <c r="O22">
        <f>VLOOKUP(L22,Parameters!$BT$7:$BU$11,2,FALSE)</f>
        <v>0.9</v>
      </c>
      <c r="P22" s="73">
        <f>VLOOKUP(M22,Parameters!$AN$7:$AO$30,2,FALSE)</f>
        <v>0.32846666666666663</v>
      </c>
      <c r="Q22">
        <f>VLOOKUP(R22,Parameters!$AR$7:$BO$27,24,FALSE)</f>
        <v>21</v>
      </c>
      <c r="R22" t="str">
        <f>Results!$C$4&amp;Calculation!N22</f>
        <v>Event 1RC7</v>
      </c>
      <c r="S22" s="81">
        <f>VLOOKUP(R22,Parameters!$AR$7:$BP$27,25,FALSE)</f>
        <v>4.5900000000000003E-2</v>
      </c>
      <c r="T22" s="18">
        <f>VLOOKUP(D22,Parameters!$C$14:$D$17,2,FALSE)</f>
        <v>0.75</v>
      </c>
      <c r="U22">
        <f>VLOOKUP(M22,Parameters!$BW$34:$BX$57,2,FALSE)</f>
        <v>1</v>
      </c>
      <c r="V22" s="73">
        <f t="shared" si="6"/>
        <v>3.4425000000000004E-2</v>
      </c>
      <c r="W22" s="73">
        <f>V22*Parameters!$AC$7</f>
        <v>6.8850000000000014E-3</v>
      </c>
      <c r="X22" s="73">
        <f>(VLOOKUP(R22,Parameters!$AR$7:$BC$27,7,FALSE)-VLOOKUP(R22,Parameters!$AR$7:$BC$27,12,FALSE))*T22*U22</f>
        <v>0</v>
      </c>
      <c r="Y22" s="73">
        <f>(VLOOKUP(R22,Parameters!$AR$7:$BM$27,12,FALSE)-VLOOKUP(R22,Parameters!$AR$7:$BM$27,17,FALSE))*T22*U22</f>
        <v>6.7500000000000008E-3</v>
      </c>
      <c r="Z22" s="73">
        <f>(VLOOKUP(R22,Parameters!$AR$7:$BM$27,17,FALSE)-VLOOKUP(R22,Parameters!$AR$7:$BM$27,22,FALSE))*T22*U22</f>
        <v>3.8250000000000003E-3</v>
      </c>
      <c r="AA22" s="51">
        <f>INDEX(Parameters!$AG$7:$AK$30,MATCH(Calculation!M22,Parameters!$AF$7:$AF$30,0),MATCH(Calculation!L22,Parameters!$AG$6:$AK$6,0))</f>
        <v>10000</v>
      </c>
      <c r="AB22" s="73">
        <f>VLOOKUP(R22,Parameters!$AR$7:$BR$27,26,FALSE)</f>
        <v>2.7438160809539447</v>
      </c>
      <c r="AC22" s="73">
        <f>VLOOKUP(R22,Parameters!$AR$7:$BR$27,27,FALSE)</f>
        <v>0.77550803576684924</v>
      </c>
      <c r="AD22" s="20">
        <f t="shared" si="7"/>
        <v>0</v>
      </c>
      <c r="AE22" s="20">
        <f t="shared" si="7"/>
        <v>2581.2726265969395</v>
      </c>
      <c r="AF22" s="20">
        <f t="shared" si="7"/>
        <v>8302.9030739796435</v>
      </c>
      <c r="AG22" s="20">
        <f t="shared" si="7"/>
        <v>13181.593822160095</v>
      </c>
      <c r="AH22" s="20">
        <f t="shared" si="7"/>
        <v>17777.668853406816</v>
      </c>
      <c r="AI22" s="20">
        <f t="shared" si="7"/>
        <v>22313.651970968756</v>
      </c>
      <c r="AJ22" s="20">
        <f t="shared" si="7"/>
        <v>26919.649299222845</v>
      </c>
      <c r="AK22" s="20">
        <f t="shared" si="7"/>
        <v>31693.845479618016</v>
      </c>
      <c r="AL22" s="20">
        <f t="shared" si="7"/>
        <v>36725.907659529243</v>
      </c>
      <c r="AM22" s="20">
        <f t="shared" si="7"/>
        <v>42110.049608126952</v>
      </c>
      <c r="AN22" s="20">
        <f t="shared" si="7"/>
        <v>47955.711404069792</v>
      </c>
      <c r="AO22" s="20">
        <f t="shared" si="7"/>
        <v>54399.722563513831</v>
      </c>
      <c r="AP22" s="20">
        <f t="shared" si="7"/>
        <v>61623.529247289262</v>
      </c>
      <c r="AQ22" s="20">
        <f t="shared" si="7"/>
        <v>69881.02784600525</v>
      </c>
      <c r="AR22" s="20">
        <f t="shared" si="7"/>
        <v>79548.061938724262</v>
      </c>
      <c r="AS22" s="20">
        <f t="shared" si="7"/>
        <v>91219.075031202927</v>
      </c>
      <c r="AT22" s="20">
        <f t="shared" si="15"/>
        <v>105918.34889535095</v>
      </c>
      <c r="AU22" s="20">
        <f t="shared" si="15"/>
        <v>125638.66023347326</v>
      </c>
      <c r="AV22" s="20">
        <f t="shared" si="15"/>
        <v>155082.73972602742</v>
      </c>
      <c r="AW22" s="20">
        <f t="shared" si="15"/>
        <v>210434.28354535933</v>
      </c>
      <c r="AX22" s="20">
        <f t="shared" si="15"/>
        <v>255697.52194488962</v>
      </c>
      <c r="AY22" s="20">
        <f t="shared" si="8"/>
        <v>69476.439274738805</v>
      </c>
      <c r="AZ22" s="53">
        <f t="shared" si="9"/>
        <v>85041.369863013679</v>
      </c>
      <c r="BA22" s="15">
        <f>Parameters!$AC$8</f>
        <v>0.5</v>
      </c>
      <c r="BB22" s="20">
        <f t="shared" si="10"/>
        <v>42520.684931506839</v>
      </c>
      <c r="BC22" s="7">
        <f t="shared" si="1"/>
        <v>0</v>
      </c>
      <c r="BD22" s="51">
        <f>Parameters!$Y$7*Calculation!AA22</f>
        <v>5000</v>
      </c>
      <c r="BE22" s="7">
        <f>Parameters!$Y$8*Calculation!AA22</f>
        <v>6000</v>
      </c>
      <c r="BF22" s="7">
        <f>Parameters!$Y$9*Calculation!AA22</f>
        <v>7000</v>
      </c>
      <c r="BG22" s="7">
        <f t="shared" si="11"/>
        <v>0</v>
      </c>
      <c r="BH22" s="7">
        <f t="shared" si="12"/>
        <v>0</v>
      </c>
      <c r="BI22" s="7">
        <f t="shared" si="13"/>
        <v>0</v>
      </c>
      <c r="BJ22" s="53">
        <f t="shared" si="3"/>
        <v>2391.7264220328834</v>
      </c>
      <c r="BK22" s="20">
        <f t="shared" si="4"/>
        <v>0</v>
      </c>
      <c r="BL22" s="20">
        <f t="shared" si="5"/>
        <v>0</v>
      </c>
      <c r="BM22" s="20">
        <f t="shared" si="14"/>
        <v>2391.7264220328834</v>
      </c>
      <c r="BO22" s="20"/>
      <c r="BS22" s="20"/>
      <c r="BT22" s="20"/>
      <c r="BU22" s="20"/>
    </row>
    <row r="23" spans="2:73" x14ac:dyDescent="0.2">
      <c r="B23" s="48">
        <v>19</v>
      </c>
      <c r="C23" s="48" t="s">
        <v>155</v>
      </c>
      <c r="D23" s="48" t="s">
        <v>156</v>
      </c>
      <c r="E23" s="48" t="s">
        <v>157</v>
      </c>
      <c r="F23" s="49">
        <v>100000</v>
      </c>
      <c r="G23" s="49"/>
      <c r="H23" s="49">
        <v>10000</v>
      </c>
      <c r="I23" s="49">
        <v>500000</v>
      </c>
      <c r="J23" s="49">
        <v>100000</v>
      </c>
      <c r="K23" s="50">
        <v>1</v>
      </c>
      <c r="L23" s="52" t="str">
        <f>INDEX(Mapping!$F$3:$F$7,MATCH(Calculation!I23,Mapping!$G$2:$G$6,1))</f>
        <v>0-20m</v>
      </c>
      <c r="M23" t="str">
        <f>VLOOKUP(E23,Mapping!$I$3:$J$26,2,FALSE)</f>
        <v>17 Education</v>
      </c>
      <c r="N23" t="str">
        <f>INDEX(Parameters!$L$7:$P$30,MATCH(Calculation!M23,Parameters!$K$7:$K$30,0),MATCH(Calculation!L23,Parameters!$L$6:$P$6,0))</f>
        <v>RC6</v>
      </c>
      <c r="O23">
        <f>VLOOKUP(L23,Parameters!$BT$7:$BU$11,2,FALSE)</f>
        <v>0.9</v>
      </c>
      <c r="P23" s="73">
        <f>VLOOKUP(M23,Parameters!$AN$7:$AO$30,2,FALSE)</f>
        <v>0.4612</v>
      </c>
      <c r="Q23">
        <f>VLOOKUP(R23,Parameters!$AR$7:$BO$27,24,FALSE)</f>
        <v>18</v>
      </c>
      <c r="R23" t="str">
        <f>Results!$C$4&amp;Calculation!N23</f>
        <v>Event 1RC6</v>
      </c>
      <c r="S23" s="81">
        <f>VLOOKUP(R23,Parameters!$AR$7:$BP$27,25,FALSE)</f>
        <v>5.6770979999999999E-2</v>
      </c>
      <c r="T23" s="18">
        <f>VLOOKUP(D23,Parameters!$C$14:$D$17,2,FALSE)</f>
        <v>0.75</v>
      </c>
      <c r="U23">
        <f>VLOOKUP(M23,Parameters!$BW$34:$BX$57,2,FALSE)</f>
        <v>1</v>
      </c>
      <c r="V23" s="73">
        <f t="shared" si="6"/>
        <v>4.2578234999999999E-2</v>
      </c>
      <c r="W23" s="73">
        <f>V23*Parameters!$AC$7</f>
        <v>8.5156469999999995E-3</v>
      </c>
      <c r="X23" s="73">
        <f>(VLOOKUP(R23,Parameters!$AR$7:$BC$27,7,FALSE)-VLOOKUP(R23,Parameters!$AR$7:$BC$27,12,FALSE))*T23*U23</f>
        <v>1.0500000000000093E-3</v>
      </c>
      <c r="Y23" s="73">
        <f>(VLOOKUP(R23,Parameters!$AR$7:$BM$27,12,FALSE)-VLOOKUP(R23,Parameters!$AR$7:$BM$27,17,FALSE))*T23*U23</f>
        <v>1.30095E-2</v>
      </c>
      <c r="Z23" s="73">
        <f>(VLOOKUP(R23,Parameters!$AR$7:$BM$27,17,FALSE)-VLOOKUP(R23,Parameters!$AR$7:$BM$27,22,FALSE))*T23*U23</f>
        <v>6.3622650000000006E-3</v>
      </c>
      <c r="AA23" s="51">
        <f>INDEX(Parameters!$AG$7:$AK$30,MATCH(Calculation!M23,Parameters!$AF$7:$AF$30,0),MATCH(Calculation!L23,Parameters!$AG$6:$AK$6,0))</f>
        <v>10000</v>
      </c>
      <c r="AB23" s="73">
        <f>VLOOKUP(R23,Parameters!$AR$7:$BR$27,26,FALSE)</f>
        <v>2.5896654011266862</v>
      </c>
      <c r="AC23" s="73">
        <f>VLOOKUP(R23,Parameters!$AR$7:$BR$27,27,FALSE)</f>
        <v>0.77550803576684924</v>
      </c>
      <c r="AD23" s="20">
        <f t="shared" si="7"/>
        <v>1762.1269663073144</v>
      </c>
      <c r="AE23" s="20">
        <f t="shared" si="7"/>
        <v>2115.9310626135448</v>
      </c>
      <c r="AF23" s="20">
        <f t="shared" si="7"/>
        <v>2804.537391036989</v>
      </c>
      <c r="AG23" s="20">
        <f t="shared" si="7"/>
        <v>3391.6947327270173</v>
      </c>
      <c r="AH23" s="20">
        <f t="shared" si="7"/>
        <v>3944.838872588969</v>
      </c>
      <c r="AI23" s="20">
        <f t="shared" si="7"/>
        <v>4490.7508655251586</v>
      </c>
      <c r="AJ23" s="20">
        <f t="shared" si="7"/>
        <v>5045.0891678858243</v>
      </c>
      <c r="AK23" s="20">
        <f t="shared" si="7"/>
        <v>5619.6704403374533</v>
      </c>
      <c r="AL23" s="20">
        <f t="shared" si="7"/>
        <v>6225.2862510706</v>
      </c>
      <c r="AM23" s="20">
        <f t="shared" si="7"/>
        <v>6873.2753606487095</v>
      </c>
      <c r="AN23" s="20">
        <f t="shared" si="7"/>
        <v>7576.8090375485772</v>
      </c>
      <c r="AO23" s="20">
        <f t="shared" si="7"/>
        <v>8352.354907844041</v>
      </c>
      <c r="AP23" s="20">
        <f t="shared" si="7"/>
        <v>9221.7502739902047</v>
      </c>
      <c r="AQ23" s="20">
        <f t="shared" si="7"/>
        <v>10215.55192621411</v>
      </c>
      <c r="AR23" s="20">
        <f t="shared" si="7"/>
        <v>11378.993171598384</v>
      </c>
      <c r="AS23" s="20">
        <f t="shared" si="7"/>
        <v>12783.616128026817</v>
      </c>
      <c r="AT23" s="20">
        <f t="shared" si="15"/>
        <v>14552.694557534945</v>
      </c>
      <c r="AU23" s="20">
        <f t="shared" si="15"/>
        <v>16926.06195880138</v>
      </c>
      <c r="AV23" s="20">
        <f t="shared" si="15"/>
        <v>20469.698630136987</v>
      </c>
      <c r="AW23" s="20">
        <f t="shared" si="15"/>
        <v>27131.335328367823</v>
      </c>
      <c r="AX23" s="20">
        <f t="shared" si="15"/>
        <v>32578.830180313933</v>
      </c>
      <c r="AY23" s="20">
        <f t="shared" si="8"/>
        <v>10164.804629100894</v>
      </c>
      <c r="AZ23" s="53">
        <f t="shared" si="9"/>
        <v>10234.849315068494</v>
      </c>
      <c r="BA23" s="15">
        <f>Parameters!$AC$8</f>
        <v>0.5</v>
      </c>
      <c r="BB23" s="20">
        <f t="shared" si="10"/>
        <v>5117.4246575342468</v>
      </c>
      <c r="BC23" s="7">
        <f t="shared" si="1"/>
        <v>0</v>
      </c>
      <c r="BD23" s="51">
        <f>Parameters!$Y$7*Calculation!AA23</f>
        <v>5000</v>
      </c>
      <c r="BE23" s="7">
        <f>Parameters!$Y$8*Calculation!AA23</f>
        <v>6000</v>
      </c>
      <c r="BF23" s="7">
        <f>Parameters!$Y$9*Calculation!AA23</f>
        <v>7000</v>
      </c>
      <c r="BG23" s="7">
        <f t="shared" si="11"/>
        <v>0</v>
      </c>
      <c r="BH23" s="7">
        <f t="shared" si="12"/>
        <v>0</v>
      </c>
      <c r="BI23" s="7">
        <f t="shared" si="13"/>
        <v>0</v>
      </c>
      <c r="BJ23" s="53">
        <f t="shared" si="3"/>
        <v>432.79944022694571</v>
      </c>
      <c r="BK23" s="20">
        <f t="shared" si="4"/>
        <v>0</v>
      </c>
      <c r="BL23" s="20">
        <f t="shared" si="5"/>
        <v>0</v>
      </c>
      <c r="BM23" s="20">
        <f t="shared" si="14"/>
        <v>432.79944022694571</v>
      </c>
      <c r="BO23" s="20"/>
      <c r="BS23" s="20"/>
      <c r="BT23" s="20"/>
      <c r="BU23" s="20"/>
    </row>
    <row r="24" spans="2:73" x14ac:dyDescent="0.2">
      <c r="B24" s="48">
        <v>20</v>
      </c>
      <c r="C24" s="48" t="s">
        <v>158</v>
      </c>
      <c r="D24" s="48" t="s">
        <v>156</v>
      </c>
      <c r="E24" s="48" t="s">
        <v>159</v>
      </c>
      <c r="F24" s="49">
        <v>100000</v>
      </c>
      <c r="G24" s="49"/>
      <c r="H24" s="49">
        <v>10000</v>
      </c>
      <c r="I24" s="49">
        <v>100000</v>
      </c>
      <c r="J24" s="49">
        <v>0</v>
      </c>
      <c r="K24" s="50">
        <v>1</v>
      </c>
      <c r="L24" s="52" t="str">
        <f>INDEX(Mapping!$F$3:$F$7,MATCH(Calculation!I24,Mapping!$G$2:$G$6,1))</f>
        <v>0-20m</v>
      </c>
      <c r="M24" t="str">
        <f>VLOOKUP(E24,Mapping!$I$3:$J$26,2,FALSE)</f>
        <v>18 Mining &amp; Primary Industries</v>
      </c>
      <c r="N24" t="str">
        <f>INDEX(Parameters!$L$7:$P$30,MATCH(Calculation!M24,Parameters!$K$7:$K$30,0),MATCH(Calculation!L24,Parameters!$L$6:$P$6,0))</f>
        <v>RC6</v>
      </c>
      <c r="O24">
        <f>VLOOKUP(L24,Parameters!$BT$7:$BU$11,2,FALSE)</f>
        <v>0.9</v>
      </c>
      <c r="P24" s="73">
        <f>VLOOKUP(M24,Parameters!$AN$7:$AO$30,2,FALSE)</f>
        <v>0.25990000000000002</v>
      </c>
      <c r="Q24">
        <f>VLOOKUP(R24,Parameters!$AR$7:$BO$27,24,FALSE)</f>
        <v>18</v>
      </c>
      <c r="R24" t="str">
        <f>Results!$C$4&amp;Calculation!N24</f>
        <v>Event 1RC6</v>
      </c>
      <c r="S24" s="81">
        <f>VLOOKUP(R24,Parameters!$AR$7:$BP$27,25,FALSE)</f>
        <v>5.6770979999999999E-2</v>
      </c>
      <c r="T24" s="18">
        <f>VLOOKUP(D24,Parameters!$C$14:$D$17,2,FALSE)</f>
        <v>0.75</v>
      </c>
      <c r="U24">
        <f>VLOOKUP(M24,Parameters!$BW$34:$BX$57,2,FALSE)</f>
        <v>1</v>
      </c>
      <c r="V24" s="73">
        <f t="shared" si="6"/>
        <v>4.2578234999999999E-2</v>
      </c>
      <c r="W24" s="73">
        <f>V24*Parameters!$AC$7</f>
        <v>8.5156469999999995E-3</v>
      </c>
      <c r="X24" s="73">
        <f>(VLOOKUP(R24,Parameters!$AR$7:$BC$27,7,FALSE)-VLOOKUP(R24,Parameters!$AR$7:$BC$27,12,FALSE))*T24*U24</f>
        <v>1.0500000000000093E-3</v>
      </c>
      <c r="Y24" s="73">
        <f>(VLOOKUP(R24,Parameters!$AR$7:$BM$27,12,FALSE)-VLOOKUP(R24,Parameters!$AR$7:$BM$27,17,FALSE))*T24*U24</f>
        <v>1.30095E-2</v>
      </c>
      <c r="Z24" s="73">
        <f>(VLOOKUP(R24,Parameters!$AR$7:$BM$27,17,FALSE)-VLOOKUP(R24,Parameters!$AR$7:$BM$27,22,FALSE))*T24*U24</f>
        <v>6.3622650000000006E-3</v>
      </c>
      <c r="AA24" s="51">
        <f>INDEX(Parameters!$AG$7:$AK$30,MATCH(Calculation!M24,Parameters!$AF$7:$AF$30,0),MATCH(Calculation!L24,Parameters!$AG$6:$AK$6,0))</f>
        <v>10000</v>
      </c>
      <c r="AB24" s="73">
        <f>VLOOKUP(R24,Parameters!$AR$7:$BR$27,26,FALSE)</f>
        <v>2.5896654011266862</v>
      </c>
      <c r="AC24" s="73">
        <f>VLOOKUP(R24,Parameters!$AR$7:$BR$27,27,FALSE)</f>
        <v>0.77550803576684924</v>
      </c>
      <c r="AD24" s="20">
        <f t="shared" si="7"/>
        <v>198.60225435527718</v>
      </c>
      <c r="AE24" s="20">
        <f t="shared" si="7"/>
        <v>238.47809331017379</v>
      </c>
      <c r="AF24" s="20">
        <f t="shared" si="7"/>
        <v>316.08814741132483</v>
      </c>
      <c r="AG24" s="20">
        <f t="shared" si="7"/>
        <v>382.26429359746362</v>
      </c>
      <c r="AH24" s="20">
        <f t="shared" si="7"/>
        <v>444.60694838936433</v>
      </c>
      <c r="AI24" s="20">
        <f t="shared" si="7"/>
        <v>506.13449694275369</v>
      </c>
      <c r="AJ24" s="20">
        <f t="shared" si="7"/>
        <v>568.61174099459095</v>
      </c>
      <c r="AK24" s="20">
        <f t="shared" si="7"/>
        <v>633.37048891747872</v>
      </c>
      <c r="AL24" s="20">
        <f t="shared" si="7"/>
        <v>701.62701502742857</v>
      </c>
      <c r="AM24" s="20">
        <f t="shared" si="7"/>
        <v>774.65926549548931</v>
      </c>
      <c r="AN24" s="20">
        <f t="shared" si="7"/>
        <v>853.95172110098611</v>
      </c>
      <c r="AO24" s="20">
        <f t="shared" si="7"/>
        <v>941.36038185111283</v>
      </c>
      <c r="AP24" s="20">
        <f t="shared" si="7"/>
        <v>1039.3464424154627</v>
      </c>
      <c r="AQ24" s="20">
        <f t="shared" si="7"/>
        <v>1151.3538359163267</v>
      </c>
      <c r="AR24" s="20">
        <f t="shared" si="7"/>
        <v>1282.4806267556032</v>
      </c>
      <c r="AS24" s="20">
        <f t="shared" si="7"/>
        <v>1440.7900397546273</v>
      </c>
      <c r="AT24" s="20">
        <f t="shared" si="15"/>
        <v>1640.1757656128939</v>
      </c>
      <c r="AU24" s="20">
        <f t="shared" si="15"/>
        <v>1907.6684748883254</v>
      </c>
      <c r="AV24" s="20">
        <f t="shared" si="15"/>
        <v>2307.0575342465745</v>
      </c>
      <c r="AW24" s="20">
        <f t="shared" si="15"/>
        <v>3057.863855959582</v>
      </c>
      <c r="AX24" s="20">
        <f t="shared" si="15"/>
        <v>3671.8291256997363</v>
      </c>
      <c r="AY24" s="20">
        <f t="shared" si="8"/>
        <v>1145.6343118401226</v>
      </c>
      <c r="AZ24" s="53">
        <f t="shared" si="9"/>
        <v>1153.5287671232877</v>
      </c>
      <c r="BA24" s="15">
        <f>Parameters!$AC$8</f>
        <v>0.5</v>
      </c>
      <c r="BB24" s="20">
        <f t="shared" si="10"/>
        <v>576.76438356164385</v>
      </c>
      <c r="BC24" s="7">
        <f t="shared" si="1"/>
        <v>0</v>
      </c>
      <c r="BD24" s="51">
        <f>Parameters!$Y$7*Calculation!AA24</f>
        <v>5000</v>
      </c>
      <c r="BE24" s="7">
        <f>Parameters!$Y$8*Calculation!AA24</f>
        <v>6000</v>
      </c>
      <c r="BF24" s="7">
        <f>Parameters!$Y$9*Calculation!AA24</f>
        <v>7000</v>
      </c>
      <c r="BG24" s="7">
        <f t="shared" si="11"/>
        <v>0</v>
      </c>
      <c r="BH24" s="7">
        <f t="shared" si="12"/>
        <v>0</v>
      </c>
      <c r="BI24" s="7">
        <f t="shared" si="13"/>
        <v>0</v>
      </c>
      <c r="BJ24" s="53">
        <f t="shared" si="3"/>
        <v>48.779086953592021</v>
      </c>
      <c r="BK24" s="20">
        <f t="shared" si="4"/>
        <v>0</v>
      </c>
      <c r="BL24" s="20">
        <f t="shared" si="5"/>
        <v>0</v>
      </c>
      <c r="BM24" s="20">
        <f t="shared" si="14"/>
        <v>48.779086953592021</v>
      </c>
      <c r="BO24" s="20"/>
      <c r="BS24" s="20"/>
      <c r="BT24" s="20"/>
      <c r="BU24" s="20"/>
    </row>
    <row r="25" spans="2:73" x14ac:dyDescent="0.2">
      <c r="S25" s="81"/>
    </row>
  </sheetData>
  <mergeCells count="6">
    <mergeCell ref="BJ3:BM3"/>
    <mergeCell ref="BD3:BI3"/>
    <mergeCell ref="L3:R3"/>
    <mergeCell ref="AA3:AY3"/>
    <mergeCell ref="S3:Z3"/>
    <mergeCell ref="AZ3:BC3"/>
  </mergeCells>
  <dataValidations count="3">
    <dataValidation allowBlank="1" showInputMessage="1" showErrorMessage="1" promptTitle="Region" prompt="Must be one of:_x000a_North America; Europe; Asia; Other" sqref="D4" xr:uid="{225FC0B0-629F-4BD8-894E-00761A6F48A4}"/>
    <dataValidation type="decimal" allowBlank="1" showInputMessage="1" showErrorMessage="1" error="Value should be between 0 and 1" sqref="K5:K24" xr:uid="{79A8CD42-71EB-448F-88FD-00912C777679}">
      <formula1>0</formula1>
      <formula2>1</formula2>
    </dataValidation>
    <dataValidation type="decimal" operator="greaterThanOrEqual" allowBlank="1" showErrorMessage="1" error="Value should be greater than or equal to 0" sqref="F5:J24" xr:uid="{86271D5E-17AE-403B-AD2B-EF1C56C83BFA}">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FCC2BE4F-8C4E-4427-8778-0E78AEE65DDF}">
          <x14:formula1>
            <xm:f>Mapping!$I$3:$I$26</xm:f>
          </x14:formula1>
          <xm:sqref>E5:E24</xm:sqref>
        </x14:dataValidation>
        <x14:dataValidation type="list" allowBlank="1" showInputMessage="1" showErrorMessage="1" xr:uid="{599FE787-3E56-4ACA-B2BC-A2471A59F8DA}">
          <x14:formula1>
            <xm:f>Parameters!$C$8:$C$11</xm:f>
          </x14:formula1>
          <xm:sqref>D5:D24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13A36-438E-49C7-9AFD-BFCDC5434209}">
  <sheetPr>
    <tabColor theme="0" tint="-0.249977111117893"/>
  </sheetPr>
  <dimension ref="B2:N26"/>
  <sheetViews>
    <sheetView showGridLines="0" workbookViewId="0"/>
  </sheetViews>
  <sheetFormatPr defaultRowHeight="12.75" x14ac:dyDescent="0.2"/>
  <cols>
    <col min="2" max="2" width="12.5703125" bestFit="1" customWidth="1"/>
    <col min="4" max="4" width="11.5703125" bestFit="1" customWidth="1"/>
    <col min="6" max="6" width="13.85546875" bestFit="1" customWidth="1"/>
    <col min="7" max="7" width="19.85546875" style="6" bestFit="1" customWidth="1"/>
    <col min="9" max="10" width="34.140625" bestFit="1" customWidth="1"/>
    <col min="12" max="12" width="42.5703125" bestFit="1" customWidth="1"/>
    <col min="13" max="13" width="17.42578125" bestFit="1" customWidth="1"/>
    <col min="14" max="14" width="37.85546875" bestFit="1" customWidth="1"/>
  </cols>
  <sheetData>
    <row r="2" spans="2:14" x14ac:dyDescent="0.2">
      <c r="B2" s="2" t="s">
        <v>160</v>
      </c>
      <c r="D2" s="2" t="s">
        <v>161</v>
      </c>
      <c r="F2" s="2" t="s">
        <v>162</v>
      </c>
      <c r="G2" s="6">
        <v>0</v>
      </c>
      <c r="I2" s="2" t="s">
        <v>163</v>
      </c>
      <c r="J2" s="2" t="s">
        <v>164</v>
      </c>
      <c r="L2" s="2" t="s">
        <v>165</v>
      </c>
      <c r="M2" s="2" t="s">
        <v>67</v>
      </c>
      <c r="N2" s="2" t="s">
        <v>166</v>
      </c>
    </row>
    <row r="3" spans="2:14" x14ac:dyDescent="0.2">
      <c r="B3" t="s">
        <v>149</v>
      </c>
      <c r="D3" t="s">
        <v>35</v>
      </c>
      <c r="F3" t="s">
        <v>57</v>
      </c>
      <c r="G3" s="90">
        <v>20000000</v>
      </c>
      <c r="I3" s="21" t="s">
        <v>167</v>
      </c>
      <c r="J3" t="s">
        <v>167</v>
      </c>
      <c r="L3" t="s">
        <v>168</v>
      </c>
      <c r="M3" t="s">
        <v>169</v>
      </c>
      <c r="N3" t="s">
        <v>170</v>
      </c>
    </row>
    <row r="4" spans="2:14" x14ac:dyDescent="0.2">
      <c r="B4" t="s">
        <v>138</v>
      </c>
      <c r="D4" t="s">
        <v>171</v>
      </c>
      <c r="F4" t="s">
        <v>59</v>
      </c>
      <c r="G4" s="90">
        <v>100000000</v>
      </c>
      <c r="I4" s="21" t="s">
        <v>172</v>
      </c>
      <c r="J4" t="s">
        <v>172</v>
      </c>
      <c r="L4" t="s">
        <v>173</v>
      </c>
      <c r="M4" t="s">
        <v>174</v>
      </c>
      <c r="N4" t="s">
        <v>175</v>
      </c>
    </row>
    <row r="5" spans="2:14" x14ac:dyDescent="0.2">
      <c r="B5" t="s">
        <v>41</v>
      </c>
      <c r="D5" t="s">
        <v>176</v>
      </c>
      <c r="F5" t="s">
        <v>61</v>
      </c>
      <c r="G5" s="90">
        <v>1000000000</v>
      </c>
      <c r="I5" s="21" t="s">
        <v>118</v>
      </c>
      <c r="J5" t="s">
        <v>118</v>
      </c>
      <c r="L5" t="s">
        <v>177</v>
      </c>
      <c r="M5" t="s">
        <v>178</v>
      </c>
      <c r="N5" t="s">
        <v>179</v>
      </c>
    </row>
    <row r="6" spans="2:14" x14ac:dyDescent="0.2">
      <c r="B6" t="s">
        <v>156</v>
      </c>
      <c r="F6" t="s">
        <v>63</v>
      </c>
      <c r="G6" s="90">
        <v>10000000000</v>
      </c>
      <c r="I6" s="21" t="s">
        <v>120</v>
      </c>
      <c r="J6" t="s">
        <v>120</v>
      </c>
      <c r="L6" t="s">
        <v>180</v>
      </c>
      <c r="N6" t="s">
        <v>181</v>
      </c>
    </row>
    <row r="7" spans="2:14" x14ac:dyDescent="0.2">
      <c r="F7" t="s">
        <v>64</v>
      </c>
      <c r="G7" s="63"/>
      <c r="I7" s="21" t="s">
        <v>122</v>
      </c>
      <c r="J7" t="s">
        <v>122</v>
      </c>
      <c r="L7" t="s">
        <v>182</v>
      </c>
      <c r="N7" t="s">
        <v>183</v>
      </c>
    </row>
    <row r="8" spans="2:14" x14ac:dyDescent="0.2">
      <c r="I8" s="21" t="s">
        <v>124</v>
      </c>
      <c r="J8" t="s">
        <v>124</v>
      </c>
      <c r="L8" t="s">
        <v>184</v>
      </c>
      <c r="N8" t="s">
        <v>185</v>
      </c>
    </row>
    <row r="9" spans="2:14" x14ac:dyDescent="0.2">
      <c r="I9" s="21" t="s">
        <v>126</v>
      </c>
      <c r="J9" t="s">
        <v>126</v>
      </c>
      <c r="L9" t="s">
        <v>186</v>
      </c>
    </row>
    <row r="10" spans="2:14" x14ac:dyDescent="0.2">
      <c r="I10" s="21" t="s">
        <v>128</v>
      </c>
      <c r="J10" t="s">
        <v>128</v>
      </c>
    </row>
    <row r="11" spans="2:14" x14ac:dyDescent="0.2">
      <c r="I11" s="21" t="s">
        <v>130</v>
      </c>
      <c r="J11" t="s">
        <v>130</v>
      </c>
    </row>
    <row r="12" spans="2:14" x14ac:dyDescent="0.2">
      <c r="I12" s="21" t="s">
        <v>132</v>
      </c>
      <c r="J12" t="s">
        <v>132</v>
      </c>
    </row>
    <row r="13" spans="2:14" x14ac:dyDescent="0.2">
      <c r="I13" s="21" t="s">
        <v>134</v>
      </c>
      <c r="J13" t="s">
        <v>134</v>
      </c>
    </row>
    <row r="14" spans="2:14" x14ac:dyDescent="0.2">
      <c r="I14" s="21" t="s">
        <v>136</v>
      </c>
      <c r="J14" t="s">
        <v>136</v>
      </c>
    </row>
    <row r="15" spans="2:14" x14ac:dyDescent="0.2">
      <c r="I15" s="21" t="s">
        <v>139</v>
      </c>
      <c r="J15" t="s">
        <v>139</v>
      </c>
    </row>
    <row r="16" spans="2:14" x14ac:dyDescent="0.2">
      <c r="I16" s="21" t="s">
        <v>141</v>
      </c>
      <c r="J16" t="s">
        <v>141</v>
      </c>
    </row>
    <row r="17" spans="9:10" x14ac:dyDescent="0.2">
      <c r="I17" s="21" t="s">
        <v>187</v>
      </c>
      <c r="J17" t="s">
        <v>187</v>
      </c>
    </row>
    <row r="18" spans="9:10" x14ac:dyDescent="0.2">
      <c r="I18" s="21" t="s">
        <v>145</v>
      </c>
      <c r="J18" t="s">
        <v>145</v>
      </c>
    </row>
    <row r="19" spans="9:10" x14ac:dyDescent="0.2">
      <c r="I19" s="21" t="s">
        <v>147</v>
      </c>
      <c r="J19" t="s">
        <v>147</v>
      </c>
    </row>
    <row r="20" spans="9:10" x14ac:dyDescent="0.2">
      <c r="I20" s="21" t="s">
        <v>150</v>
      </c>
      <c r="J20" t="s">
        <v>150</v>
      </c>
    </row>
    <row r="21" spans="9:10" x14ac:dyDescent="0.2">
      <c r="I21" s="21" t="s">
        <v>152</v>
      </c>
      <c r="J21" t="s">
        <v>152</v>
      </c>
    </row>
    <row r="22" spans="9:10" x14ac:dyDescent="0.2">
      <c r="I22" s="21" t="s">
        <v>154</v>
      </c>
      <c r="J22" t="s">
        <v>154</v>
      </c>
    </row>
    <row r="23" spans="9:10" x14ac:dyDescent="0.2">
      <c r="I23" s="21" t="s">
        <v>157</v>
      </c>
      <c r="J23" t="s">
        <v>157</v>
      </c>
    </row>
    <row r="24" spans="9:10" x14ac:dyDescent="0.2">
      <c r="I24" s="21" t="s">
        <v>159</v>
      </c>
      <c r="J24" t="s">
        <v>159</v>
      </c>
    </row>
    <row r="25" spans="9:10" x14ac:dyDescent="0.2">
      <c r="I25" s="21" t="s">
        <v>188</v>
      </c>
      <c r="J25" t="s">
        <v>188</v>
      </c>
    </row>
    <row r="26" spans="9:10" x14ac:dyDescent="0.2">
      <c r="I26" s="21" t="s">
        <v>143</v>
      </c>
      <c r="J26" t="s">
        <v>143</v>
      </c>
    </row>
  </sheetData>
  <phoneticPr fontId="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1ADEE-4FA0-4D3B-B02E-B4431B72C967}">
  <sheetPr>
    <tabColor theme="0" tint="-0.249977111117893"/>
  </sheetPr>
  <dimension ref="B2:BZ57"/>
  <sheetViews>
    <sheetView showGridLines="0" zoomScale="85" zoomScaleNormal="85" workbookViewId="0"/>
  </sheetViews>
  <sheetFormatPr defaultRowHeight="12.75" x14ac:dyDescent="0.2"/>
  <cols>
    <col min="3" max="3" width="22.5703125" bestFit="1" customWidth="1"/>
    <col min="4" max="4" width="12.85546875" bestFit="1" customWidth="1"/>
    <col min="11" max="11" width="35.140625" bestFit="1" customWidth="1"/>
    <col min="12" max="16" width="13.140625" customWidth="1"/>
    <col min="19" max="19" width="15.85546875" bestFit="1" customWidth="1"/>
    <col min="23" max="25" width="19.140625" customWidth="1"/>
    <col min="32" max="32" width="40.42578125" customWidth="1"/>
    <col min="33" max="35" width="11.140625" customWidth="1"/>
    <col min="36" max="37" width="13.140625" customWidth="1"/>
    <col min="40" max="40" width="35.140625" bestFit="1" customWidth="1"/>
    <col min="44" max="44" width="10.42578125" customWidth="1"/>
    <col min="46" max="46" width="46.5703125" bestFit="1" customWidth="1"/>
    <col min="48" max="48" width="11.5703125" customWidth="1"/>
    <col min="50" max="50" width="19" customWidth="1"/>
    <col min="51" max="51" width="14" customWidth="1"/>
    <col min="52" max="52" width="8.85546875" customWidth="1"/>
    <col min="53" max="53" width="13.42578125" customWidth="1"/>
    <col min="55" max="55" width="20" customWidth="1"/>
    <col min="56" max="56" width="29" customWidth="1"/>
    <col min="57" max="57" width="4.5703125" bestFit="1" customWidth="1"/>
    <col min="58" max="58" width="10.42578125" bestFit="1" customWidth="1"/>
    <col min="59" max="59" width="19.140625" customWidth="1"/>
    <col min="60" max="60" width="19.42578125" customWidth="1"/>
    <col min="61" max="61" width="20.5703125" bestFit="1" customWidth="1"/>
    <col min="62" max="62" width="4.5703125" bestFit="1" customWidth="1"/>
    <col min="63" max="63" width="10.42578125" bestFit="1" customWidth="1"/>
    <col min="64" max="64" width="14.5703125" customWidth="1"/>
    <col min="65" max="65" width="19.5703125" customWidth="1"/>
    <col min="66" max="66" width="4.5703125" bestFit="1" customWidth="1"/>
    <col min="67" max="67" width="16.5703125" bestFit="1" customWidth="1"/>
    <col min="68" max="68" width="16.140625" bestFit="1" customWidth="1"/>
    <col min="69" max="70" width="12" bestFit="1" customWidth="1"/>
    <col min="71" max="71" width="17" customWidth="1"/>
    <col min="72" max="72" width="18.85546875" customWidth="1"/>
    <col min="73" max="73" width="14.42578125" bestFit="1" customWidth="1"/>
    <col min="74" max="74" width="17" customWidth="1"/>
    <col min="75" max="75" width="34.140625" bestFit="1" customWidth="1"/>
    <col min="76" max="78" width="9.5703125" customWidth="1"/>
    <col min="79" max="79" width="17" customWidth="1"/>
  </cols>
  <sheetData>
    <row r="2" spans="2:78" x14ac:dyDescent="0.2">
      <c r="AC2" t="s">
        <v>189</v>
      </c>
    </row>
    <row r="3" spans="2:78" x14ac:dyDescent="0.2">
      <c r="AR3" s="85" t="s">
        <v>190</v>
      </c>
    </row>
    <row r="4" spans="2:78" ht="13.5" thickBot="1" x14ac:dyDescent="0.25">
      <c r="J4" s="85" t="s">
        <v>191</v>
      </c>
    </row>
    <row r="5" spans="2:78" ht="36.6" customHeight="1" thickBot="1" x14ac:dyDescent="0.25">
      <c r="C5" s="85" t="s">
        <v>192</v>
      </c>
      <c r="L5" s="150" t="s">
        <v>193</v>
      </c>
      <c r="M5" s="151"/>
      <c r="N5" s="151"/>
      <c r="O5" s="151"/>
      <c r="P5" s="152"/>
      <c r="R5" s="85" t="s">
        <v>194</v>
      </c>
      <c r="AN5" s="85" t="s">
        <v>195</v>
      </c>
      <c r="AT5" s="142" t="str">
        <f>AT6</f>
        <v>Initial Access</v>
      </c>
      <c r="AU5" s="143"/>
      <c r="AV5" s="143"/>
      <c r="AW5" s="143"/>
      <c r="AX5" s="141"/>
      <c r="AY5" s="142" t="str">
        <f>AY6</f>
        <v>Privilege Escalation</v>
      </c>
      <c r="AZ5" s="143"/>
      <c r="BA5" s="143"/>
      <c r="BB5" s="143"/>
      <c r="BC5" s="141"/>
      <c r="BD5" s="142" t="str">
        <f>BD6</f>
        <v>Lateral Movement</v>
      </c>
      <c r="BE5" s="143"/>
      <c r="BF5" s="143"/>
      <c r="BG5" s="143"/>
      <c r="BH5" s="141"/>
      <c r="BI5" s="142" t="str">
        <f>BI6</f>
        <v>Impact</v>
      </c>
      <c r="BJ5" s="143"/>
      <c r="BK5" s="143"/>
      <c r="BL5" s="143"/>
      <c r="BM5" s="143"/>
      <c r="BN5" s="142" t="s">
        <v>196</v>
      </c>
      <c r="BO5" s="141"/>
      <c r="BP5" s="105" t="s">
        <v>197</v>
      </c>
      <c r="BQ5" s="140" t="s">
        <v>198</v>
      </c>
      <c r="BR5" s="141"/>
      <c r="BW5" s="2"/>
    </row>
    <row r="6" spans="2:78" ht="60.75" thickBot="1" x14ac:dyDescent="0.3">
      <c r="D6" s="144" t="s">
        <v>199</v>
      </c>
      <c r="E6" s="145"/>
      <c r="F6" s="145"/>
      <c r="G6" s="146"/>
      <c r="K6" s="68" t="s">
        <v>200</v>
      </c>
      <c r="L6" s="92" t="s">
        <v>57</v>
      </c>
      <c r="M6" s="93" t="s">
        <v>59</v>
      </c>
      <c r="N6" s="93" t="s">
        <v>61</v>
      </c>
      <c r="O6" s="93" t="s">
        <v>63</v>
      </c>
      <c r="P6" s="94" t="s">
        <v>64</v>
      </c>
      <c r="W6" s="95" t="s">
        <v>201</v>
      </c>
      <c r="X6" s="95" t="s">
        <v>202</v>
      </c>
      <c r="Y6" s="95" t="s">
        <v>203</v>
      </c>
      <c r="AB6" s="93" t="s">
        <v>204</v>
      </c>
      <c r="AC6" s="93"/>
      <c r="AF6" s="96" t="s">
        <v>205</v>
      </c>
      <c r="AG6" s="93" t="s">
        <v>57</v>
      </c>
      <c r="AH6" s="93" t="s">
        <v>59</v>
      </c>
      <c r="AI6" s="93" t="s">
        <v>61</v>
      </c>
      <c r="AJ6" s="93" t="s">
        <v>63</v>
      </c>
      <c r="AK6" s="93" t="s">
        <v>64</v>
      </c>
      <c r="AN6" s="93" t="s">
        <v>206</v>
      </c>
      <c r="AO6" s="93" t="s">
        <v>207</v>
      </c>
      <c r="AR6" s="106" t="s">
        <v>208</v>
      </c>
      <c r="AS6" s="68"/>
      <c r="AT6" s="97" t="s">
        <v>66</v>
      </c>
      <c r="AU6" s="98"/>
      <c r="AV6" s="98" t="s">
        <v>209</v>
      </c>
      <c r="AW6" s="98" t="s">
        <v>210</v>
      </c>
      <c r="AX6" s="98" t="s">
        <v>211</v>
      </c>
      <c r="AY6" s="97" t="s">
        <v>67</v>
      </c>
      <c r="AZ6" s="98"/>
      <c r="BA6" s="98" t="s">
        <v>209</v>
      </c>
      <c r="BB6" s="98" t="s">
        <v>210</v>
      </c>
      <c r="BC6" s="98" t="s">
        <v>211</v>
      </c>
      <c r="BD6" s="98" t="s">
        <v>68</v>
      </c>
      <c r="BE6" s="98"/>
      <c r="BF6" s="98" t="s">
        <v>209</v>
      </c>
      <c r="BG6" s="98" t="s">
        <v>210</v>
      </c>
      <c r="BH6" s="98" t="s">
        <v>211</v>
      </c>
      <c r="BI6" s="97" t="s">
        <v>51</v>
      </c>
      <c r="BJ6" s="99"/>
      <c r="BK6" s="98" t="s">
        <v>209</v>
      </c>
      <c r="BL6" s="98" t="s">
        <v>210</v>
      </c>
      <c r="BM6" s="98" t="s">
        <v>211</v>
      </c>
      <c r="BN6" s="100"/>
      <c r="BO6" s="100" t="str">
        <f>BN5</f>
        <v>Avg BI time (days)</v>
      </c>
      <c r="BP6" s="101" t="str">
        <f>BP5</f>
        <v>Final Infection Rate</v>
      </c>
      <c r="BQ6" s="101" t="s">
        <v>212</v>
      </c>
      <c r="BR6" s="101" t="s">
        <v>213</v>
      </c>
      <c r="BT6" s="102" t="s">
        <v>214</v>
      </c>
      <c r="BU6" s="102" t="s">
        <v>215</v>
      </c>
      <c r="BW6" s="66" t="s">
        <v>216</v>
      </c>
      <c r="BX6" s="67" t="str">
        <f>Mapping!D3</f>
        <v>Event 1</v>
      </c>
      <c r="BY6" s="67" t="str">
        <f>Mapping!D4</f>
        <v>Event 2</v>
      </c>
      <c r="BZ6" s="67" t="str">
        <f>Mapping!D5</f>
        <v>Event 3</v>
      </c>
    </row>
    <row r="7" spans="2:78" ht="15.75" thickBot="1" x14ac:dyDescent="0.3">
      <c r="C7" s="103" t="s">
        <v>217</v>
      </c>
      <c r="D7" s="68" t="s">
        <v>149</v>
      </c>
      <c r="E7" s="68" t="s">
        <v>138</v>
      </c>
      <c r="F7" s="68" t="s">
        <v>41</v>
      </c>
      <c r="G7" s="68" t="s">
        <v>156</v>
      </c>
      <c r="J7" s="153" t="s">
        <v>77</v>
      </c>
      <c r="K7" s="91" t="s">
        <v>167</v>
      </c>
      <c r="L7" s="21" t="s">
        <v>218</v>
      </c>
      <c r="M7" s="21" t="s">
        <v>219</v>
      </c>
      <c r="N7" s="21" t="s">
        <v>220</v>
      </c>
      <c r="O7" s="21" t="s">
        <v>221</v>
      </c>
      <c r="P7" s="21" t="s">
        <v>222</v>
      </c>
      <c r="R7" t="s">
        <v>222</v>
      </c>
      <c r="S7" s="8" t="s">
        <v>223</v>
      </c>
      <c r="T7" s="8"/>
      <c r="W7" t="s">
        <v>66</v>
      </c>
      <c r="X7" s="22">
        <v>0.5</v>
      </c>
      <c r="Y7" s="15">
        <f>X7</f>
        <v>0.5</v>
      </c>
      <c r="AB7" t="s">
        <v>70</v>
      </c>
      <c r="AC7" s="22">
        <v>0.2</v>
      </c>
      <c r="AF7" t="s">
        <v>167</v>
      </c>
      <c r="AG7" s="23">
        <v>10000</v>
      </c>
      <c r="AH7" s="23">
        <v>300000</v>
      </c>
      <c r="AI7" s="23">
        <v>1000000</v>
      </c>
      <c r="AJ7" s="23">
        <v>10000000</v>
      </c>
      <c r="AK7" s="23">
        <v>25000000</v>
      </c>
      <c r="AN7" t="s">
        <v>167</v>
      </c>
      <c r="AO7" s="65">
        <v>0.66200000000000003</v>
      </c>
      <c r="AR7" s="35" t="str">
        <f>$AS$7&amp;AU7</f>
        <v>Event 1RC1</v>
      </c>
      <c r="AS7" s="35" t="str">
        <f>Mapping!D3</f>
        <v>Event 1</v>
      </c>
      <c r="AT7" s="46" t="s">
        <v>180</v>
      </c>
      <c r="AU7" s="39" t="s">
        <v>222</v>
      </c>
      <c r="AV7" s="34">
        <v>0.3</v>
      </c>
      <c r="AW7" s="34">
        <v>0.6</v>
      </c>
      <c r="AX7" s="38">
        <f>AW7*AV7</f>
        <v>0.18</v>
      </c>
      <c r="AY7" s="41" t="s">
        <v>178</v>
      </c>
      <c r="AZ7" s="39" t="s">
        <v>222</v>
      </c>
      <c r="BA7" s="34">
        <v>1</v>
      </c>
      <c r="BB7" s="34">
        <v>0.9</v>
      </c>
      <c r="BC7" s="38">
        <f>BB7*BA7*AX7</f>
        <v>0.16200000000000001</v>
      </c>
      <c r="BD7" s="41" t="s">
        <v>185</v>
      </c>
      <c r="BE7" s="39" t="s">
        <v>222</v>
      </c>
      <c r="BF7" s="34">
        <v>1</v>
      </c>
      <c r="BG7" s="29">
        <v>0.5</v>
      </c>
      <c r="BH7" s="38">
        <f>BG7*BF7*BC7</f>
        <v>8.1000000000000003E-2</v>
      </c>
      <c r="BI7" s="41" t="s">
        <v>224</v>
      </c>
      <c r="BJ7" s="1" t="s">
        <v>222</v>
      </c>
      <c r="BK7" s="34">
        <v>1</v>
      </c>
      <c r="BL7" s="29">
        <v>0.7</v>
      </c>
      <c r="BM7" s="56">
        <f>BL7*BK7*BH7</f>
        <v>5.67E-2</v>
      </c>
      <c r="BN7" s="39" t="s">
        <v>222</v>
      </c>
      <c r="BO7" s="24">
        <v>5</v>
      </c>
      <c r="BP7" s="107">
        <f t="shared" ref="BP7:BP27" si="0">BL7*BK7*BG7*BF7*BB7*BA7*AW7*AV7</f>
        <v>5.67E-2</v>
      </c>
      <c r="BQ7" s="108">
        <f>LN(2*BO7)-BR7*_xlfn.NORM.INV(0.9,0,1)</f>
        <v>1.3087315556646217</v>
      </c>
      <c r="BR7" s="109">
        <f>_xlfn.NORM.INV(0.9,0,1)-SQRT(_xlfn.NORM.INV(0.9,0,1)*_xlfn.NORM.INV(0.9,0,1)-4*0.5*(LN(2*BO7)-LN(BO7)))</f>
        <v>0.77550803576684968</v>
      </c>
      <c r="BS7" s="19"/>
      <c r="BT7" t="s">
        <v>57</v>
      </c>
      <c r="BU7" s="22">
        <v>0.9</v>
      </c>
      <c r="BW7" s="4" t="s">
        <v>167</v>
      </c>
      <c r="BX7" s="21">
        <v>1</v>
      </c>
      <c r="BY7" s="21">
        <v>1</v>
      </c>
      <c r="BZ7" s="21">
        <v>0</v>
      </c>
    </row>
    <row r="8" spans="2:78" ht="15" x14ac:dyDescent="0.25">
      <c r="B8" s="147" t="s">
        <v>225</v>
      </c>
      <c r="C8" t="s">
        <v>149</v>
      </c>
      <c r="D8" s="21">
        <v>1</v>
      </c>
      <c r="E8" s="21">
        <v>0.75</v>
      </c>
      <c r="F8" s="21">
        <v>0.75</v>
      </c>
      <c r="G8" s="21">
        <v>0.75</v>
      </c>
      <c r="J8" s="154"/>
      <c r="K8" s="4" t="s">
        <v>172</v>
      </c>
      <c r="L8" s="21" t="s">
        <v>218</v>
      </c>
      <c r="M8" s="21" t="s">
        <v>219</v>
      </c>
      <c r="N8" s="21" t="s">
        <v>220</v>
      </c>
      <c r="O8" s="21" t="s">
        <v>221</v>
      </c>
      <c r="P8" s="21" t="s">
        <v>222</v>
      </c>
      <c r="R8" t="s">
        <v>221</v>
      </c>
      <c r="S8" s="9"/>
      <c r="T8" s="9"/>
      <c r="W8" t="s">
        <v>67</v>
      </c>
      <c r="X8" s="22">
        <v>0.1</v>
      </c>
      <c r="Y8" s="15">
        <f>X8+Y7</f>
        <v>0.6</v>
      </c>
      <c r="AB8" t="s">
        <v>226</v>
      </c>
      <c r="AC8" s="22">
        <v>0.5</v>
      </c>
      <c r="AF8" t="s">
        <v>172</v>
      </c>
      <c r="AG8" s="23">
        <v>10000</v>
      </c>
      <c r="AH8" s="23">
        <v>300000</v>
      </c>
      <c r="AI8" s="23">
        <v>1000000</v>
      </c>
      <c r="AJ8" s="23">
        <v>10000000</v>
      </c>
      <c r="AK8" s="23">
        <v>25000000</v>
      </c>
      <c r="AN8" t="s">
        <v>172</v>
      </c>
      <c r="AO8" s="65">
        <v>0.29399999999999998</v>
      </c>
      <c r="AR8" s="36" t="str">
        <f t="shared" ref="AR8:AR13" si="1">$AS$7&amp;AU8</f>
        <v>Event 1RC2</v>
      </c>
      <c r="AS8" s="36"/>
      <c r="AT8" s="36"/>
      <c r="AU8" s="42" t="s">
        <v>221</v>
      </c>
      <c r="AV8" s="32">
        <v>0.3</v>
      </c>
      <c r="AW8" s="32">
        <v>0.6</v>
      </c>
      <c r="AX8" s="40">
        <f t="shared" ref="AX8:AX27" si="2">AW8*AV8</f>
        <v>0.18</v>
      </c>
      <c r="AY8" s="41"/>
      <c r="AZ8" s="42" t="s">
        <v>221</v>
      </c>
      <c r="BA8" s="32">
        <v>1</v>
      </c>
      <c r="BB8" s="32">
        <v>0.91666666666666674</v>
      </c>
      <c r="BC8" s="40">
        <f t="shared" ref="BC8:BC27" si="3">BB8*BA8*AX8</f>
        <v>0.16500000000000001</v>
      </c>
      <c r="BD8" s="41"/>
      <c r="BE8" s="42" t="s">
        <v>221</v>
      </c>
      <c r="BF8" s="32">
        <v>1</v>
      </c>
      <c r="BG8" s="30">
        <v>0.56000000000000005</v>
      </c>
      <c r="BH8" s="40">
        <f t="shared" ref="BH8:BH27" si="4">BG8*BF8*BC8</f>
        <v>9.240000000000001E-2</v>
      </c>
      <c r="BI8" s="41"/>
      <c r="BJ8" s="1" t="s">
        <v>221</v>
      </c>
      <c r="BK8" s="32">
        <v>1</v>
      </c>
      <c r="BL8" s="30">
        <v>0.73</v>
      </c>
      <c r="BM8" s="57">
        <f>BL8*BK8*BH8</f>
        <v>6.7452000000000012E-2</v>
      </c>
      <c r="BN8" s="42" t="s">
        <v>221</v>
      </c>
      <c r="BO8" s="25">
        <v>5</v>
      </c>
      <c r="BP8" s="110">
        <f t="shared" si="0"/>
        <v>6.7452000000000012E-2</v>
      </c>
      <c r="BQ8" s="111">
        <f>LN(2*BO8)-BR8*_xlfn.NORM.INV(0.9,0,1)</f>
        <v>1.3087315556646217</v>
      </c>
      <c r="BR8" s="112">
        <f t="shared" ref="BR8:BR27" si="5">_xlfn.NORM.INV(0.9,0,1)-SQRT(_xlfn.NORM.INV(0.9,0,1)*_xlfn.NORM.INV(0.9,0,1)-4*0.5*(LN(2*BO8)-LN(BO8)))</f>
        <v>0.77550803576684968</v>
      </c>
      <c r="BS8" s="19"/>
      <c r="BT8" t="s">
        <v>59</v>
      </c>
      <c r="BU8" s="22">
        <f>BU7-($BU$7-$BU$11)/4</f>
        <v>0.82499999999999996</v>
      </c>
      <c r="BW8" s="4" t="s">
        <v>172</v>
      </c>
      <c r="BX8" s="21">
        <v>1</v>
      </c>
      <c r="BY8" s="21">
        <v>1</v>
      </c>
      <c r="BZ8" s="21">
        <v>0</v>
      </c>
    </row>
    <row r="9" spans="2:78" ht="15" x14ac:dyDescent="0.25">
      <c r="B9" s="148"/>
      <c r="C9" t="s">
        <v>138</v>
      </c>
      <c r="D9" s="21">
        <v>0.75</v>
      </c>
      <c r="E9" s="21">
        <v>1</v>
      </c>
      <c r="F9" s="21">
        <v>0.75</v>
      </c>
      <c r="G9" s="21">
        <v>0.75</v>
      </c>
      <c r="J9" s="154"/>
      <c r="K9" s="4" t="s">
        <v>118</v>
      </c>
      <c r="L9" s="21" t="s">
        <v>218</v>
      </c>
      <c r="M9" s="21" t="s">
        <v>219</v>
      </c>
      <c r="N9" s="21" t="s">
        <v>220</v>
      </c>
      <c r="O9" s="21" t="s">
        <v>221</v>
      </c>
      <c r="P9" s="21" t="s">
        <v>222</v>
      </c>
      <c r="R9" t="s">
        <v>220</v>
      </c>
      <c r="S9" s="10"/>
      <c r="T9" s="10"/>
      <c r="W9" t="s">
        <v>68</v>
      </c>
      <c r="X9" s="22">
        <v>0.1</v>
      </c>
      <c r="Y9" s="15">
        <f t="shared" ref="Y9:Y10" si="6">X9+Y8</f>
        <v>0.7</v>
      </c>
      <c r="AF9" t="s">
        <v>118</v>
      </c>
      <c r="AG9" s="23">
        <v>10000</v>
      </c>
      <c r="AH9" s="23">
        <v>300000</v>
      </c>
      <c r="AI9" s="23">
        <v>1000000</v>
      </c>
      <c r="AJ9" s="23">
        <v>10000000</v>
      </c>
      <c r="AK9" s="23">
        <v>25000000</v>
      </c>
      <c r="AN9" t="s">
        <v>118</v>
      </c>
      <c r="AO9" s="65">
        <v>0.21410000000000001</v>
      </c>
      <c r="AR9" s="36" t="str">
        <f t="shared" si="1"/>
        <v>Event 1RC3</v>
      </c>
      <c r="AS9" s="36"/>
      <c r="AT9" s="36"/>
      <c r="AU9" s="42" t="s">
        <v>220</v>
      </c>
      <c r="AV9" s="32">
        <v>0.3</v>
      </c>
      <c r="AW9" s="32">
        <v>0.51999999999999991</v>
      </c>
      <c r="AX9" s="40">
        <f t="shared" si="2"/>
        <v>0.15599999999999997</v>
      </c>
      <c r="AY9" s="41"/>
      <c r="AZ9" s="42" t="s">
        <v>220</v>
      </c>
      <c r="BA9" s="32">
        <v>1</v>
      </c>
      <c r="BB9" s="32">
        <v>0.93333333333333335</v>
      </c>
      <c r="BC9" s="40">
        <f t="shared" si="3"/>
        <v>0.14559999999999998</v>
      </c>
      <c r="BD9" s="41"/>
      <c r="BE9" s="42" t="s">
        <v>220</v>
      </c>
      <c r="BF9" s="32">
        <v>1</v>
      </c>
      <c r="BG9" s="30">
        <v>0.62</v>
      </c>
      <c r="BH9" s="40">
        <f t="shared" si="4"/>
        <v>9.0271999999999991E-2</v>
      </c>
      <c r="BI9" s="41"/>
      <c r="BJ9" s="1" t="s">
        <v>220</v>
      </c>
      <c r="BK9" s="32">
        <v>1</v>
      </c>
      <c r="BL9" s="30">
        <v>0.77</v>
      </c>
      <c r="BM9" s="57">
        <f t="shared" ref="BM9:BM27" si="7">BL9*BK9*BH9</f>
        <v>6.9509439999999992E-2</v>
      </c>
      <c r="BN9" s="42" t="s">
        <v>220</v>
      </c>
      <c r="BO9" s="25">
        <v>7</v>
      </c>
      <c r="BP9" s="110">
        <f t="shared" si="0"/>
        <v>6.9509439999999978E-2</v>
      </c>
      <c r="BQ9" s="111">
        <f t="shared" ref="BQ9:BQ27" si="8">LN(2*BO9)-BR9*_xlfn.NORM.INV(0.9,0,1)</f>
        <v>1.6452037922858351</v>
      </c>
      <c r="BR9" s="112">
        <f t="shared" si="5"/>
        <v>0.77550803576684879</v>
      </c>
      <c r="BS9" s="19"/>
      <c r="BT9" t="s">
        <v>61</v>
      </c>
      <c r="BU9" s="22">
        <f t="shared" ref="BU9:BU10" si="9">BU8-($BU$7-$BU$11)/4</f>
        <v>0.75</v>
      </c>
      <c r="BW9" s="4" t="s">
        <v>118</v>
      </c>
      <c r="BX9" s="21">
        <v>1</v>
      </c>
      <c r="BY9" s="21">
        <v>1</v>
      </c>
      <c r="BZ9" s="21">
        <v>0</v>
      </c>
    </row>
    <row r="10" spans="2:78" ht="15" x14ac:dyDescent="0.25">
      <c r="B10" s="148"/>
      <c r="C10" t="s">
        <v>41</v>
      </c>
      <c r="D10" s="21">
        <v>0.75</v>
      </c>
      <c r="E10" s="21">
        <v>0.75</v>
      </c>
      <c r="F10" s="21">
        <v>1</v>
      </c>
      <c r="G10" s="21">
        <v>0.75</v>
      </c>
      <c r="J10" s="154"/>
      <c r="K10" s="4" t="s">
        <v>120</v>
      </c>
      <c r="L10" s="21" t="s">
        <v>227</v>
      </c>
      <c r="M10" s="21" t="s">
        <v>218</v>
      </c>
      <c r="N10" s="21" t="s">
        <v>219</v>
      </c>
      <c r="O10" s="21" t="s">
        <v>220</v>
      </c>
      <c r="P10" s="21" t="s">
        <v>221</v>
      </c>
      <c r="R10" t="s">
        <v>219</v>
      </c>
      <c r="S10" s="11"/>
      <c r="T10" s="11"/>
      <c r="W10" t="s">
        <v>51</v>
      </c>
      <c r="X10" s="22">
        <v>0.3</v>
      </c>
      <c r="Y10" s="15">
        <f t="shared" si="6"/>
        <v>1</v>
      </c>
      <c r="AF10" t="s">
        <v>120</v>
      </c>
      <c r="AG10" s="23">
        <v>10000</v>
      </c>
      <c r="AH10" s="23">
        <v>300000</v>
      </c>
      <c r="AI10" s="23">
        <v>1000000</v>
      </c>
      <c r="AJ10" s="23">
        <v>10000000</v>
      </c>
      <c r="AK10" s="23">
        <v>25000000</v>
      </c>
      <c r="AN10" t="s">
        <v>120</v>
      </c>
      <c r="AO10" s="65">
        <v>0.27731428571428574</v>
      </c>
      <c r="AR10" s="36" t="str">
        <f t="shared" si="1"/>
        <v>Event 1RC4</v>
      </c>
      <c r="AS10" s="36"/>
      <c r="AT10" s="36"/>
      <c r="AU10" s="42" t="s">
        <v>219</v>
      </c>
      <c r="AV10" s="32">
        <v>0.3</v>
      </c>
      <c r="AW10" s="32">
        <v>0.43999999999999995</v>
      </c>
      <c r="AX10" s="40">
        <f t="shared" si="2"/>
        <v>0.13199999999999998</v>
      </c>
      <c r="AY10" s="41"/>
      <c r="AZ10" s="42" t="s">
        <v>219</v>
      </c>
      <c r="BA10" s="32">
        <v>1</v>
      </c>
      <c r="BB10" s="32">
        <v>0.95</v>
      </c>
      <c r="BC10" s="40">
        <f t="shared" si="3"/>
        <v>0.12539999999999998</v>
      </c>
      <c r="BD10" s="41"/>
      <c r="BE10" s="42" t="s">
        <v>219</v>
      </c>
      <c r="BF10" s="32">
        <v>1</v>
      </c>
      <c r="BG10" s="30">
        <v>0.68</v>
      </c>
      <c r="BH10" s="40">
        <f t="shared" si="4"/>
        <v>8.5272000000000001E-2</v>
      </c>
      <c r="BI10" s="41"/>
      <c r="BJ10" s="1" t="s">
        <v>219</v>
      </c>
      <c r="BK10" s="32">
        <v>1</v>
      </c>
      <c r="BL10" s="30">
        <v>0.8</v>
      </c>
      <c r="BM10" s="57">
        <f t="shared" si="7"/>
        <v>6.8217600000000003E-2</v>
      </c>
      <c r="BN10" s="42" t="s">
        <v>219</v>
      </c>
      <c r="BO10" s="25">
        <v>9</v>
      </c>
      <c r="BP10" s="110">
        <f t="shared" si="0"/>
        <v>6.8217599999999989E-2</v>
      </c>
      <c r="BQ10" s="111">
        <f t="shared" si="8"/>
        <v>1.8965182205667419</v>
      </c>
      <c r="BR10" s="112">
        <f t="shared" si="5"/>
        <v>0.77550803576684835</v>
      </c>
      <c r="BS10" s="19"/>
      <c r="BT10" t="s">
        <v>63</v>
      </c>
      <c r="BU10" s="22">
        <f t="shared" si="9"/>
        <v>0.67500000000000004</v>
      </c>
      <c r="BW10" s="4" t="s">
        <v>120</v>
      </c>
      <c r="BX10" s="21">
        <v>1</v>
      </c>
      <c r="BY10" s="21">
        <v>1</v>
      </c>
      <c r="BZ10" s="21">
        <v>0</v>
      </c>
    </row>
    <row r="11" spans="2:78" ht="15.75" thickBot="1" x14ac:dyDescent="0.3">
      <c r="B11" s="149"/>
      <c r="C11" t="s">
        <v>156</v>
      </c>
      <c r="D11" s="21">
        <v>0.75</v>
      </c>
      <c r="E11" s="21">
        <v>0.75</v>
      </c>
      <c r="F11" s="21">
        <v>0.75</v>
      </c>
      <c r="G11" s="21">
        <v>1</v>
      </c>
      <c r="J11" s="154"/>
      <c r="K11" s="4" t="s">
        <v>122</v>
      </c>
      <c r="L11" s="21" t="s">
        <v>218</v>
      </c>
      <c r="M11" s="21" t="s">
        <v>219</v>
      </c>
      <c r="N11" s="21" t="s">
        <v>220</v>
      </c>
      <c r="O11" s="21" t="s">
        <v>221</v>
      </c>
      <c r="P11" s="21" t="s">
        <v>222</v>
      </c>
      <c r="R11" t="s">
        <v>218</v>
      </c>
      <c r="S11" s="12"/>
      <c r="T11" s="12"/>
      <c r="AF11" t="s">
        <v>122</v>
      </c>
      <c r="AG11" s="23">
        <v>10000</v>
      </c>
      <c r="AH11" s="23">
        <v>300000</v>
      </c>
      <c r="AI11" s="23">
        <v>1000000</v>
      </c>
      <c r="AJ11" s="23">
        <v>10000000</v>
      </c>
      <c r="AK11" s="23">
        <v>25000000</v>
      </c>
      <c r="AN11" t="s">
        <v>122</v>
      </c>
      <c r="AO11" s="65">
        <v>0.99860000000000004</v>
      </c>
      <c r="AR11" s="36" t="str">
        <f t="shared" si="1"/>
        <v>Event 1RC5</v>
      </c>
      <c r="AS11" s="36"/>
      <c r="AT11" s="36"/>
      <c r="AU11" s="42" t="s">
        <v>218</v>
      </c>
      <c r="AV11" s="32">
        <v>0.3</v>
      </c>
      <c r="AW11" s="32">
        <v>0.36</v>
      </c>
      <c r="AX11" s="40">
        <f t="shared" si="2"/>
        <v>0.108</v>
      </c>
      <c r="AY11" s="41"/>
      <c r="AZ11" s="42" t="s">
        <v>218</v>
      </c>
      <c r="BA11" s="32">
        <v>1</v>
      </c>
      <c r="BB11" s="32">
        <v>0.96666666666666656</v>
      </c>
      <c r="BC11" s="40">
        <f t="shared" si="3"/>
        <v>0.10439999999999999</v>
      </c>
      <c r="BD11" s="41"/>
      <c r="BE11" s="42" t="s">
        <v>218</v>
      </c>
      <c r="BF11" s="32">
        <v>1</v>
      </c>
      <c r="BG11" s="30">
        <v>0.73</v>
      </c>
      <c r="BH11" s="40">
        <f t="shared" si="4"/>
        <v>7.6211999999999988E-2</v>
      </c>
      <c r="BI11" s="41"/>
      <c r="BJ11" s="1" t="s">
        <v>218</v>
      </c>
      <c r="BK11" s="32">
        <v>1</v>
      </c>
      <c r="BL11" s="30">
        <v>0.83</v>
      </c>
      <c r="BM11" s="57">
        <f t="shared" si="7"/>
        <v>6.3255959999999986E-2</v>
      </c>
      <c r="BN11" s="42" t="s">
        <v>218</v>
      </c>
      <c r="BO11" s="25">
        <v>15</v>
      </c>
      <c r="BP11" s="110">
        <f t="shared" si="0"/>
        <v>6.3255959999999986E-2</v>
      </c>
      <c r="BQ11" s="111">
        <f t="shared" si="8"/>
        <v>2.4073438443327317</v>
      </c>
      <c r="BR11" s="112">
        <f t="shared" si="5"/>
        <v>0.77550803576684924</v>
      </c>
      <c r="BS11" s="19"/>
      <c r="BT11" t="s">
        <v>64</v>
      </c>
      <c r="BU11" s="22">
        <v>0.6</v>
      </c>
      <c r="BW11" s="4" t="s">
        <v>122</v>
      </c>
      <c r="BX11" s="21">
        <v>1</v>
      </c>
      <c r="BY11" s="21">
        <v>1</v>
      </c>
      <c r="BZ11" s="21">
        <v>0</v>
      </c>
    </row>
    <row r="12" spans="2:78" ht="15" x14ac:dyDescent="0.25">
      <c r="J12" s="154"/>
      <c r="K12" s="4" t="s">
        <v>124</v>
      </c>
      <c r="L12" s="21" t="s">
        <v>227</v>
      </c>
      <c r="M12" s="21" t="s">
        <v>218</v>
      </c>
      <c r="N12" s="21" t="s">
        <v>219</v>
      </c>
      <c r="O12" s="21" t="s">
        <v>220</v>
      </c>
      <c r="P12" s="21" t="s">
        <v>221</v>
      </c>
      <c r="R12" t="s">
        <v>227</v>
      </c>
      <c r="S12" s="13"/>
      <c r="T12" s="13"/>
      <c r="AF12" t="s">
        <v>124</v>
      </c>
      <c r="AG12" s="23">
        <v>10000</v>
      </c>
      <c r="AH12" s="23">
        <v>300000</v>
      </c>
      <c r="AI12" s="23">
        <v>1000000</v>
      </c>
      <c r="AJ12" s="23">
        <v>10000000</v>
      </c>
      <c r="AK12" s="23">
        <v>25000000</v>
      </c>
      <c r="AN12" t="s">
        <v>124</v>
      </c>
      <c r="AO12" s="65">
        <v>0.23577500000000001</v>
      </c>
      <c r="AR12" s="36" t="str">
        <f t="shared" si="1"/>
        <v>Event 1RC6</v>
      </c>
      <c r="AS12" s="36"/>
      <c r="AT12" s="36"/>
      <c r="AU12" s="42" t="s">
        <v>227</v>
      </c>
      <c r="AV12" s="32">
        <v>0.3</v>
      </c>
      <c r="AW12" s="32">
        <v>0.28000000000000003</v>
      </c>
      <c r="AX12" s="40">
        <f t="shared" si="2"/>
        <v>8.4000000000000005E-2</v>
      </c>
      <c r="AY12" s="41"/>
      <c r="AZ12" s="42" t="s">
        <v>227</v>
      </c>
      <c r="BA12" s="32">
        <v>1</v>
      </c>
      <c r="BB12" s="32">
        <v>0.98333333333333317</v>
      </c>
      <c r="BC12" s="40">
        <f t="shared" si="3"/>
        <v>8.2599999999999993E-2</v>
      </c>
      <c r="BD12" s="41"/>
      <c r="BE12" s="42" t="s">
        <v>227</v>
      </c>
      <c r="BF12" s="32">
        <v>1</v>
      </c>
      <c r="BG12" s="30">
        <v>0.79</v>
      </c>
      <c r="BH12" s="40">
        <f t="shared" si="4"/>
        <v>6.5253999999999993E-2</v>
      </c>
      <c r="BI12" s="41"/>
      <c r="BJ12" s="1" t="s">
        <v>227</v>
      </c>
      <c r="BK12" s="32">
        <v>1</v>
      </c>
      <c r="BL12" s="30">
        <v>0.87</v>
      </c>
      <c r="BM12" s="57">
        <f t="shared" si="7"/>
        <v>5.6770979999999992E-2</v>
      </c>
      <c r="BN12" s="42" t="s">
        <v>227</v>
      </c>
      <c r="BO12" s="25">
        <v>18</v>
      </c>
      <c r="BP12" s="110">
        <f t="shared" si="0"/>
        <v>5.6770979999999999E-2</v>
      </c>
      <c r="BQ12" s="111">
        <f t="shared" si="8"/>
        <v>2.5896654011266862</v>
      </c>
      <c r="BR12" s="112">
        <f t="shared" si="5"/>
        <v>0.77550803576684924</v>
      </c>
      <c r="BS12" s="19"/>
      <c r="BW12" s="4" t="s">
        <v>124</v>
      </c>
      <c r="BX12" s="21">
        <v>1</v>
      </c>
      <c r="BY12" s="21">
        <v>1</v>
      </c>
      <c r="BZ12" s="21">
        <v>0</v>
      </c>
    </row>
    <row r="13" spans="2:78" ht="15" x14ac:dyDescent="0.25">
      <c r="C13" s="16" t="s">
        <v>228</v>
      </c>
      <c r="D13" s="2" t="str">
        <f>Results!C5</f>
        <v>North America</v>
      </c>
      <c r="J13" s="154"/>
      <c r="K13" s="4" t="s">
        <v>126</v>
      </c>
      <c r="L13" s="21" t="s">
        <v>218</v>
      </c>
      <c r="M13" s="21" t="s">
        <v>219</v>
      </c>
      <c r="N13" s="21" t="s">
        <v>220</v>
      </c>
      <c r="O13" s="21" t="s">
        <v>221</v>
      </c>
      <c r="P13" s="21" t="s">
        <v>222</v>
      </c>
      <c r="R13" t="s">
        <v>229</v>
      </c>
      <c r="S13" s="118" t="s">
        <v>230</v>
      </c>
      <c r="T13" s="14"/>
      <c r="AF13" t="s">
        <v>126</v>
      </c>
      <c r="AG13" s="23">
        <v>10000</v>
      </c>
      <c r="AH13" s="23">
        <v>300000</v>
      </c>
      <c r="AI13" s="23">
        <v>1000000</v>
      </c>
      <c r="AJ13" s="23">
        <v>10000000</v>
      </c>
      <c r="AK13" s="23">
        <v>25000000</v>
      </c>
      <c r="AN13" t="s">
        <v>126</v>
      </c>
      <c r="AO13" s="65">
        <v>0.56479999999999997</v>
      </c>
      <c r="AR13" s="37" t="str">
        <f t="shared" si="1"/>
        <v>Event 1RC7</v>
      </c>
      <c r="AS13" s="37"/>
      <c r="AT13" s="37"/>
      <c r="AU13" s="45" t="s">
        <v>229</v>
      </c>
      <c r="AV13" s="33">
        <v>0.3</v>
      </c>
      <c r="AW13" s="33">
        <v>0.2</v>
      </c>
      <c r="AX13" s="43">
        <f t="shared" si="2"/>
        <v>0.06</v>
      </c>
      <c r="AY13" s="44"/>
      <c r="AZ13" s="45" t="s">
        <v>229</v>
      </c>
      <c r="BA13" s="33">
        <v>1</v>
      </c>
      <c r="BB13" s="33">
        <v>1</v>
      </c>
      <c r="BC13" s="43">
        <f t="shared" si="3"/>
        <v>0.06</v>
      </c>
      <c r="BD13" s="44"/>
      <c r="BE13" s="45" t="s">
        <v>229</v>
      </c>
      <c r="BF13" s="33">
        <v>1</v>
      </c>
      <c r="BG13" s="31">
        <v>0.85</v>
      </c>
      <c r="BH13" s="43">
        <f t="shared" si="4"/>
        <v>5.0999999999999997E-2</v>
      </c>
      <c r="BI13" s="44"/>
      <c r="BJ13" s="16" t="s">
        <v>229</v>
      </c>
      <c r="BK13" s="33">
        <v>1</v>
      </c>
      <c r="BL13" s="31">
        <v>0.9</v>
      </c>
      <c r="BM13" s="58">
        <f t="shared" si="7"/>
        <v>4.5899999999999996E-2</v>
      </c>
      <c r="BN13" s="45" t="s">
        <v>229</v>
      </c>
      <c r="BO13" s="26">
        <v>21</v>
      </c>
      <c r="BP13" s="113">
        <f t="shared" si="0"/>
        <v>4.5900000000000003E-2</v>
      </c>
      <c r="BQ13" s="114">
        <f t="shared" si="8"/>
        <v>2.7438160809539447</v>
      </c>
      <c r="BR13" s="115">
        <f t="shared" si="5"/>
        <v>0.77550803576684924</v>
      </c>
      <c r="BS13" s="19"/>
      <c r="BW13" s="4" t="s">
        <v>126</v>
      </c>
      <c r="BX13" s="21">
        <v>1</v>
      </c>
      <c r="BY13" s="21">
        <v>1</v>
      </c>
      <c r="BZ13" s="21">
        <v>0</v>
      </c>
    </row>
    <row r="14" spans="2:78" ht="15" x14ac:dyDescent="0.25">
      <c r="C14" t="s">
        <v>149</v>
      </c>
      <c r="D14">
        <f>HLOOKUP(C14,$D$7:$G$11,MATCH($D$13,$C$8:$C$11)+1,FALSE)</f>
        <v>0.75</v>
      </c>
      <c r="J14" s="154"/>
      <c r="K14" s="4" t="s">
        <v>128</v>
      </c>
      <c r="L14" s="21" t="s">
        <v>229</v>
      </c>
      <c r="M14" s="21" t="s">
        <v>227</v>
      </c>
      <c r="N14" s="21" t="s">
        <v>218</v>
      </c>
      <c r="O14" s="21" t="s">
        <v>219</v>
      </c>
      <c r="P14" s="21" t="s">
        <v>220</v>
      </c>
      <c r="AF14" t="s">
        <v>128</v>
      </c>
      <c r="AG14" s="23">
        <v>10000</v>
      </c>
      <c r="AH14" s="23">
        <v>300000</v>
      </c>
      <c r="AI14" s="23">
        <v>1000000</v>
      </c>
      <c r="AJ14" s="23">
        <v>10000000</v>
      </c>
      <c r="AK14" s="23">
        <v>25000000</v>
      </c>
      <c r="AN14" t="s">
        <v>128</v>
      </c>
      <c r="AO14" s="65">
        <v>0.40213333333333329</v>
      </c>
      <c r="AR14" s="36" t="str">
        <f>$AS$14&amp;AU14</f>
        <v>Event 2RC1</v>
      </c>
      <c r="AS14" s="35" t="str">
        <f>Mapping!D4</f>
        <v>Event 2</v>
      </c>
      <c r="AT14" s="36" t="s">
        <v>177</v>
      </c>
      <c r="AU14" s="42" t="s">
        <v>222</v>
      </c>
      <c r="AV14" s="32">
        <v>0.75</v>
      </c>
      <c r="AW14" s="32">
        <v>0.1</v>
      </c>
      <c r="AX14" s="40">
        <f t="shared" si="2"/>
        <v>7.5000000000000011E-2</v>
      </c>
      <c r="AY14" s="41" t="s">
        <v>169</v>
      </c>
      <c r="AZ14" s="42" t="s">
        <v>222</v>
      </c>
      <c r="BA14" s="32">
        <v>0.75</v>
      </c>
      <c r="BB14" s="32">
        <v>0.6</v>
      </c>
      <c r="BC14" s="40">
        <f t="shared" si="3"/>
        <v>3.3750000000000002E-2</v>
      </c>
      <c r="BD14" s="41" t="s">
        <v>175</v>
      </c>
      <c r="BE14" s="42" t="s">
        <v>222</v>
      </c>
      <c r="BF14" s="32">
        <v>0.7</v>
      </c>
      <c r="BG14" s="32">
        <v>0.7</v>
      </c>
      <c r="BH14" s="40">
        <f t="shared" si="4"/>
        <v>1.65375E-2</v>
      </c>
      <c r="BI14" s="41" t="s">
        <v>231</v>
      </c>
      <c r="BJ14" s="1" t="s">
        <v>222</v>
      </c>
      <c r="BK14" s="32">
        <v>1</v>
      </c>
      <c r="BL14" s="32">
        <v>0.7</v>
      </c>
      <c r="BM14" s="57">
        <f t="shared" si="7"/>
        <v>1.157625E-2</v>
      </c>
      <c r="BN14" s="42" t="s">
        <v>222</v>
      </c>
      <c r="BO14" s="116">
        <v>2</v>
      </c>
      <c r="BP14" s="110">
        <f t="shared" si="0"/>
        <v>1.1576249999999998E-2</v>
      </c>
      <c r="BQ14" s="111">
        <f t="shared" si="8"/>
        <v>0.39244082379046707</v>
      </c>
      <c r="BR14" s="112">
        <f t="shared" si="5"/>
        <v>0.77550803576684901</v>
      </c>
      <c r="BS14" s="19"/>
      <c r="BW14" s="4" t="s">
        <v>128</v>
      </c>
      <c r="BX14" s="21">
        <v>1</v>
      </c>
      <c r="BY14" s="21">
        <v>1</v>
      </c>
      <c r="BZ14" s="21">
        <v>1</v>
      </c>
    </row>
    <row r="15" spans="2:78" ht="15" x14ac:dyDescent="0.25">
      <c r="C15" t="s">
        <v>138</v>
      </c>
      <c r="D15">
        <f t="shared" ref="D15:D17" si="10">HLOOKUP(C15,$D$7:$G$11,MATCH($D$13,$C$8:$C$11)+1,FALSE)</f>
        <v>0.75</v>
      </c>
      <c r="J15" s="154"/>
      <c r="K15" s="4" t="s">
        <v>130</v>
      </c>
      <c r="L15" s="21" t="s">
        <v>227</v>
      </c>
      <c r="M15" s="21" t="s">
        <v>218</v>
      </c>
      <c r="N15" s="21" t="s">
        <v>219</v>
      </c>
      <c r="O15" s="21" t="s">
        <v>220</v>
      </c>
      <c r="P15" s="21" t="s">
        <v>221</v>
      </c>
      <c r="AF15" t="s">
        <v>130</v>
      </c>
      <c r="AG15" s="23">
        <v>10000</v>
      </c>
      <c r="AH15" s="23">
        <v>300000</v>
      </c>
      <c r="AI15" s="23">
        <v>1000000</v>
      </c>
      <c r="AJ15" s="23">
        <v>10000000</v>
      </c>
      <c r="AK15" s="23">
        <v>25000000</v>
      </c>
      <c r="AN15" t="s">
        <v>130</v>
      </c>
      <c r="AO15" s="65">
        <v>0.31719999999999998</v>
      </c>
      <c r="AR15" s="36" t="str">
        <f t="shared" ref="AR15:AR20" si="11">$AS$14&amp;AU15</f>
        <v>Event 2RC2</v>
      </c>
      <c r="AS15" s="36"/>
      <c r="AT15" s="36"/>
      <c r="AU15" s="42" t="s">
        <v>221</v>
      </c>
      <c r="AV15" s="32">
        <v>0.75</v>
      </c>
      <c r="AW15" s="32">
        <v>0.18333333333333335</v>
      </c>
      <c r="AX15" s="40">
        <f t="shared" si="2"/>
        <v>0.13750000000000001</v>
      </c>
      <c r="AY15" s="41"/>
      <c r="AZ15" s="42" t="s">
        <v>221</v>
      </c>
      <c r="BA15" s="32">
        <v>0.75</v>
      </c>
      <c r="BB15" s="32">
        <v>0.6333333333333333</v>
      </c>
      <c r="BC15" s="40">
        <f t="shared" si="3"/>
        <v>6.5312499999999996E-2</v>
      </c>
      <c r="BD15" s="41"/>
      <c r="BE15" s="42" t="s">
        <v>221</v>
      </c>
      <c r="BF15" s="32">
        <v>0.7</v>
      </c>
      <c r="BG15" s="32">
        <v>0.73333333333333328</v>
      </c>
      <c r="BH15" s="40">
        <f t="shared" si="4"/>
        <v>3.3527083333333332E-2</v>
      </c>
      <c r="BI15" s="41"/>
      <c r="BJ15" s="1" t="s">
        <v>221</v>
      </c>
      <c r="BK15" s="32">
        <v>1</v>
      </c>
      <c r="BL15" s="32">
        <v>0.75</v>
      </c>
      <c r="BM15" s="57">
        <f t="shared" si="7"/>
        <v>2.5145312499999999E-2</v>
      </c>
      <c r="BN15" s="42" t="s">
        <v>221</v>
      </c>
      <c r="BO15" s="116">
        <v>5</v>
      </c>
      <c r="BP15" s="110">
        <f t="shared" si="0"/>
        <v>2.5145312499999996E-2</v>
      </c>
      <c r="BQ15" s="111">
        <f t="shared" si="8"/>
        <v>1.3087315556646217</v>
      </c>
      <c r="BR15" s="112">
        <f t="shared" si="5"/>
        <v>0.77550803576684968</v>
      </c>
      <c r="BS15" s="19"/>
      <c r="BW15" s="4" t="s">
        <v>130</v>
      </c>
      <c r="BX15" s="21">
        <v>1</v>
      </c>
      <c r="BY15" s="21">
        <v>1</v>
      </c>
      <c r="BZ15" s="21">
        <v>0</v>
      </c>
    </row>
    <row r="16" spans="2:78" ht="15" x14ac:dyDescent="0.25">
      <c r="C16" t="s">
        <v>41</v>
      </c>
      <c r="D16">
        <f t="shared" si="10"/>
        <v>1</v>
      </c>
      <c r="J16" s="154"/>
      <c r="K16" s="4" t="s">
        <v>132</v>
      </c>
      <c r="L16" s="21" t="s">
        <v>227</v>
      </c>
      <c r="M16" s="21" t="s">
        <v>218</v>
      </c>
      <c r="N16" s="21" t="s">
        <v>219</v>
      </c>
      <c r="O16" s="21" t="s">
        <v>220</v>
      </c>
      <c r="P16" s="21" t="s">
        <v>221</v>
      </c>
      <c r="AF16" t="s">
        <v>132</v>
      </c>
      <c r="AG16" s="23">
        <v>10000</v>
      </c>
      <c r="AH16" s="23">
        <v>300000</v>
      </c>
      <c r="AI16" s="23">
        <v>1000000</v>
      </c>
      <c r="AJ16" s="23">
        <v>10000000</v>
      </c>
      <c r="AK16" s="23">
        <v>25000000</v>
      </c>
      <c r="AN16" t="s">
        <v>132</v>
      </c>
      <c r="AO16" s="65">
        <v>0.40264999999999995</v>
      </c>
      <c r="AR16" s="36" t="str">
        <f t="shared" si="11"/>
        <v>Event 2RC3</v>
      </c>
      <c r="AS16" s="36"/>
      <c r="AT16" s="36"/>
      <c r="AU16" s="42" t="s">
        <v>220</v>
      </c>
      <c r="AV16" s="32">
        <v>0.75</v>
      </c>
      <c r="AW16" s="32">
        <v>0.26666666666666666</v>
      </c>
      <c r="AX16" s="40">
        <f t="shared" si="2"/>
        <v>0.2</v>
      </c>
      <c r="AY16" s="41"/>
      <c r="AZ16" s="42" t="s">
        <v>220</v>
      </c>
      <c r="BA16" s="32">
        <v>0.75</v>
      </c>
      <c r="BB16" s="32">
        <v>0.66666666666666663</v>
      </c>
      <c r="BC16" s="40">
        <f t="shared" si="3"/>
        <v>0.1</v>
      </c>
      <c r="BD16" s="41"/>
      <c r="BE16" s="42" t="s">
        <v>220</v>
      </c>
      <c r="BF16" s="32">
        <v>0.7</v>
      </c>
      <c r="BG16" s="32">
        <v>0.76666666666666661</v>
      </c>
      <c r="BH16" s="40">
        <f t="shared" si="4"/>
        <v>5.3666666666666668E-2</v>
      </c>
      <c r="BI16" s="41"/>
      <c r="BJ16" s="1" t="s">
        <v>220</v>
      </c>
      <c r="BK16" s="32">
        <v>1</v>
      </c>
      <c r="BL16" s="32">
        <v>0.8</v>
      </c>
      <c r="BM16" s="57">
        <f t="shared" si="7"/>
        <v>4.2933333333333337E-2</v>
      </c>
      <c r="BN16" s="42" t="s">
        <v>220</v>
      </c>
      <c r="BO16" s="116">
        <v>7</v>
      </c>
      <c r="BP16" s="110">
        <f t="shared" si="0"/>
        <v>4.2933333333333323E-2</v>
      </c>
      <c r="BQ16" s="111">
        <f t="shared" si="8"/>
        <v>1.6452037922858351</v>
      </c>
      <c r="BR16" s="112">
        <f t="shared" si="5"/>
        <v>0.77550803576684879</v>
      </c>
      <c r="BS16" s="19"/>
      <c r="BW16" s="4" t="s">
        <v>132</v>
      </c>
      <c r="BX16" s="21">
        <v>1</v>
      </c>
      <c r="BY16" s="21">
        <v>1</v>
      </c>
      <c r="BZ16" s="21">
        <v>1</v>
      </c>
    </row>
    <row r="17" spans="3:78" ht="15" x14ac:dyDescent="0.25">
      <c r="C17" t="s">
        <v>156</v>
      </c>
      <c r="D17">
        <f t="shared" si="10"/>
        <v>0.75</v>
      </c>
      <c r="J17" s="154"/>
      <c r="K17" s="4" t="s">
        <v>134</v>
      </c>
      <c r="L17" s="21" t="s">
        <v>218</v>
      </c>
      <c r="M17" s="21" t="s">
        <v>219</v>
      </c>
      <c r="N17" s="21" t="s">
        <v>220</v>
      </c>
      <c r="O17" s="21" t="s">
        <v>221</v>
      </c>
      <c r="P17" s="21" t="s">
        <v>222</v>
      </c>
      <c r="AF17" t="s">
        <v>134</v>
      </c>
      <c r="AG17" s="23">
        <v>10000</v>
      </c>
      <c r="AH17" s="23">
        <v>300000</v>
      </c>
      <c r="AI17" s="23">
        <v>1000000</v>
      </c>
      <c r="AJ17" s="23">
        <v>10000000</v>
      </c>
      <c r="AK17" s="23">
        <v>25000000</v>
      </c>
      <c r="AN17" t="s">
        <v>134</v>
      </c>
      <c r="AO17" s="65">
        <v>0.46596666666666664</v>
      </c>
      <c r="AR17" s="36" t="str">
        <f t="shared" si="11"/>
        <v>Event 2RC4</v>
      </c>
      <c r="AS17" s="36"/>
      <c r="AT17" s="36"/>
      <c r="AU17" s="42" t="s">
        <v>219</v>
      </c>
      <c r="AV17" s="32">
        <v>0.75</v>
      </c>
      <c r="AW17" s="32">
        <v>0.35</v>
      </c>
      <c r="AX17" s="40">
        <f t="shared" si="2"/>
        <v>0.26249999999999996</v>
      </c>
      <c r="AY17" s="41"/>
      <c r="AZ17" s="42" t="s">
        <v>219</v>
      </c>
      <c r="BA17" s="32">
        <v>0.75</v>
      </c>
      <c r="BB17" s="32">
        <v>0.7</v>
      </c>
      <c r="BC17" s="40">
        <f t="shared" si="3"/>
        <v>0.13781249999999995</v>
      </c>
      <c r="BD17" s="41"/>
      <c r="BE17" s="42" t="s">
        <v>219</v>
      </c>
      <c r="BF17" s="32">
        <v>0.7</v>
      </c>
      <c r="BG17" s="32">
        <v>0.79999999999999993</v>
      </c>
      <c r="BH17" s="40">
        <f t="shared" si="4"/>
        <v>7.7174999999999966E-2</v>
      </c>
      <c r="BI17" s="41"/>
      <c r="BJ17" s="1" t="s">
        <v>219</v>
      </c>
      <c r="BK17" s="32">
        <v>1</v>
      </c>
      <c r="BL17" s="32">
        <v>0.85</v>
      </c>
      <c r="BM17" s="57">
        <f t="shared" si="7"/>
        <v>6.559874999999997E-2</v>
      </c>
      <c r="BN17" s="42" t="s">
        <v>219</v>
      </c>
      <c r="BO17" s="116">
        <v>8</v>
      </c>
      <c r="BP17" s="110">
        <f t="shared" si="0"/>
        <v>6.5598749999999983E-2</v>
      </c>
      <c r="BQ17" s="111">
        <f t="shared" si="8"/>
        <v>1.7787351849103574</v>
      </c>
      <c r="BR17" s="112">
        <f t="shared" si="5"/>
        <v>0.77550803576684924</v>
      </c>
      <c r="BS17" s="19"/>
      <c r="BW17" s="4" t="s">
        <v>134</v>
      </c>
      <c r="BX17" s="21">
        <v>1</v>
      </c>
      <c r="BY17" s="21">
        <v>1</v>
      </c>
      <c r="BZ17" s="21">
        <v>0</v>
      </c>
    </row>
    <row r="18" spans="3:78" ht="15" x14ac:dyDescent="0.25">
      <c r="J18" s="154"/>
      <c r="K18" s="4" t="s">
        <v>136</v>
      </c>
      <c r="L18" s="21" t="s">
        <v>229</v>
      </c>
      <c r="M18" s="21" t="s">
        <v>227</v>
      </c>
      <c r="N18" s="21" t="s">
        <v>218</v>
      </c>
      <c r="O18" s="21" t="s">
        <v>219</v>
      </c>
      <c r="P18" s="21" t="s">
        <v>220</v>
      </c>
      <c r="AF18" t="s">
        <v>136</v>
      </c>
      <c r="AG18" s="23">
        <v>10000</v>
      </c>
      <c r="AH18" s="23">
        <v>300000</v>
      </c>
      <c r="AI18" s="23">
        <v>1000000</v>
      </c>
      <c r="AJ18" s="23">
        <v>10000000</v>
      </c>
      <c r="AK18" s="23">
        <v>25000000</v>
      </c>
      <c r="AN18" t="s">
        <v>136</v>
      </c>
      <c r="AO18" s="65">
        <v>0.42135</v>
      </c>
      <c r="AR18" s="36" t="str">
        <f t="shared" si="11"/>
        <v>Event 2RC5</v>
      </c>
      <c r="AS18" s="36"/>
      <c r="AT18" s="36"/>
      <c r="AU18" s="42" t="s">
        <v>218</v>
      </c>
      <c r="AV18" s="32">
        <v>0.75</v>
      </c>
      <c r="AW18" s="32">
        <v>0.43333333333333329</v>
      </c>
      <c r="AX18" s="40">
        <f t="shared" si="2"/>
        <v>0.32499999999999996</v>
      </c>
      <c r="AY18" s="41"/>
      <c r="AZ18" s="42" t="s">
        <v>218</v>
      </c>
      <c r="BA18" s="32">
        <v>0.75</v>
      </c>
      <c r="BB18" s="32">
        <v>0.73333333333333328</v>
      </c>
      <c r="BC18" s="40">
        <f t="shared" si="3"/>
        <v>0.17874999999999996</v>
      </c>
      <c r="BD18" s="41"/>
      <c r="BE18" s="42" t="s">
        <v>218</v>
      </c>
      <c r="BF18" s="32">
        <v>0.7</v>
      </c>
      <c r="BG18" s="32">
        <v>0.83333333333333326</v>
      </c>
      <c r="BH18" s="40">
        <f t="shared" si="4"/>
        <v>0.1042708333333333</v>
      </c>
      <c r="BI18" s="41"/>
      <c r="BJ18" s="1" t="s">
        <v>218</v>
      </c>
      <c r="BK18" s="32">
        <v>1</v>
      </c>
      <c r="BL18" s="32">
        <v>0.9</v>
      </c>
      <c r="BM18" s="57">
        <f t="shared" si="7"/>
        <v>9.3843749999999976E-2</v>
      </c>
      <c r="BN18" s="42" t="s">
        <v>218</v>
      </c>
      <c r="BO18" s="116">
        <v>10</v>
      </c>
      <c r="BP18" s="110">
        <f t="shared" si="0"/>
        <v>9.3843749999999976E-2</v>
      </c>
      <c r="BQ18" s="111">
        <f t="shared" si="8"/>
        <v>2.001878736224568</v>
      </c>
      <c r="BR18" s="112">
        <f t="shared" si="5"/>
        <v>0.77550803576684835</v>
      </c>
      <c r="BS18" s="19"/>
      <c r="BW18" s="4" t="s">
        <v>136</v>
      </c>
      <c r="BX18" s="21">
        <v>1</v>
      </c>
      <c r="BY18" s="21">
        <v>1</v>
      </c>
      <c r="BZ18" s="21">
        <v>1</v>
      </c>
    </row>
    <row r="19" spans="3:78" ht="15" x14ac:dyDescent="0.25">
      <c r="J19" s="154"/>
      <c r="K19" s="4" t="s">
        <v>139</v>
      </c>
      <c r="L19" s="21" t="s">
        <v>227</v>
      </c>
      <c r="M19" s="21" t="s">
        <v>218</v>
      </c>
      <c r="N19" s="21" t="s">
        <v>219</v>
      </c>
      <c r="O19" s="21" t="s">
        <v>220</v>
      </c>
      <c r="P19" s="21" t="s">
        <v>221</v>
      </c>
      <c r="AF19" t="s">
        <v>139</v>
      </c>
      <c r="AG19" s="23">
        <v>10000</v>
      </c>
      <c r="AH19" s="23">
        <v>300000</v>
      </c>
      <c r="AI19" s="23">
        <v>1000000</v>
      </c>
      <c r="AJ19" s="23">
        <v>10000000</v>
      </c>
      <c r="AK19" s="23">
        <v>25000000</v>
      </c>
      <c r="AN19" t="s">
        <v>139</v>
      </c>
      <c r="AO19" s="65">
        <v>0.39966666666666667</v>
      </c>
      <c r="AR19" s="36" t="str">
        <f t="shared" si="11"/>
        <v>Event 2RC6</v>
      </c>
      <c r="AS19" s="36"/>
      <c r="AT19" s="36"/>
      <c r="AU19" s="42" t="s">
        <v>227</v>
      </c>
      <c r="AV19" s="32">
        <v>0.75</v>
      </c>
      <c r="AW19" s="32">
        <v>0.51666666666666661</v>
      </c>
      <c r="AX19" s="40">
        <f t="shared" si="2"/>
        <v>0.38749999999999996</v>
      </c>
      <c r="AY19" s="41"/>
      <c r="AZ19" s="42" t="s">
        <v>227</v>
      </c>
      <c r="BA19" s="32">
        <v>0.75</v>
      </c>
      <c r="BB19" s="32">
        <v>0.76666666666666661</v>
      </c>
      <c r="BC19" s="40">
        <f t="shared" si="3"/>
        <v>0.22281249999999997</v>
      </c>
      <c r="BD19" s="41"/>
      <c r="BE19" s="42" t="s">
        <v>227</v>
      </c>
      <c r="BF19" s="32">
        <v>0.7</v>
      </c>
      <c r="BG19" s="32">
        <v>0.86666666666666659</v>
      </c>
      <c r="BH19" s="40">
        <f t="shared" si="4"/>
        <v>0.13517291666666661</v>
      </c>
      <c r="BI19" s="41"/>
      <c r="BJ19" s="1" t="s">
        <v>227</v>
      </c>
      <c r="BK19" s="32">
        <v>1</v>
      </c>
      <c r="BL19" s="32">
        <v>0.95</v>
      </c>
      <c r="BM19" s="57">
        <f t="shared" si="7"/>
        <v>0.12841427083333329</v>
      </c>
      <c r="BN19" s="42" t="s">
        <v>227</v>
      </c>
      <c r="BO19" s="116">
        <v>12</v>
      </c>
      <c r="BP19" s="110">
        <f t="shared" si="0"/>
        <v>0.12841427083333329</v>
      </c>
      <c r="BQ19" s="111">
        <f t="shared" si="8"/>
        <v>2.184200293018522</v>
      </c>
      <c r="BR19" s="112">
        <f t="shared" si="5"/>
        <v>0.77550803576684924</v>
      </c>
      <c r="BS19" s="19"/>
      <c r="BW19" s="4" t="s">
        <v>139</v>
      </c>
      <c r="BX19" s="21">
        <v>1</v>
      </c>
      <c r="BY19" s="21">
        <v>1</v>
      </c>
      <c r="BZ19" s="21">
        <v>0</v>
      </c>
    </row>
    <row r="20" spans="3:78" ht="15" x14ac:dyDescent="0.25">
      <c r="J20" s="154"/>
      <c r="K20" s="4" t="s">
        <v>141</v>
      </c>
      <c r="L20" s="21" t="s">
        <v>229</v>
      </c>
      <c r="M20" s="21" t="s">
        <v>227</v>
      </c>
      <c r="N20" s="21" t="s">
        <v>218</v>
      </c>
      <c r="O20" s="21" t="s">
        <v>219</v>
      </c>
      <c r="P20" s="21" t="s">
        <v>220</v>
      </c>
      <c r="AF20" t="s">
        <v>141</v>
      </c>
      <c r="AG20" s="23">
        <v>10000</v>
      </c>
      <c r="AH20" s="23">
        <v>300000</v>
      </c>
      <c r="AI20" s="23">
        <v>1000000</v>
      </c>
      <c r="AJ20" s="23">
        <v>10000000</v>
      </c>
      <c r="AK20" s="23">
        <v>25000000</v>
      </c>
      <c r="AN20" t="s">
        <v>141</v>
      </c>
      <c r="AO20" s="65">
        <v>0.29247999999999996</v>
      </c>
      <c r="AR20" s="37" t="str">
        <f t="shared" si="11"/>
        <v>Event 2RC7</v>
      </c>
      <c r="AS20" s="37"/>
      <c r="AT20" s="37"/>
      <c r="AU20" s="45" t="s">
        <v>229</v>
      </c>
      <c r="AV20" s="33">
        <v>0.75</v>
      </c>
      <c r="AW20" s="33">
        <v>0.6</v>
      </c>
      <c r="AX20" s="43">
        <f t="shared" si="2"/>
        <v>0.44999999999999996</v>
      </c>
      <c r="AY20" s="44"/>
      <c r="AZ20" s="45" t="s">
        <v>229</v>
      </c>
      <c r="BA20" s="33">
        <v>0.75</v>
      </c>
      <c r="BB20" s="33">
        <v>0.8</v>
      </c>
      <c r="BC20" s="43">
        <f t="shared" si="3"/>
        <v>0.27</v>
      </c>
      <c r="BD20" s="44"/>
      <c r="BE20" s="45" t="s">
        <v>229</v>
      </c>
      <c r="BF20" s="33">
        <v>0.7</v>
      </c>
      <c r="BG20" s="33">
        <v>0.9</v>
      </c>
      <c r="BH20" s="43">
        <f t="shared" si="4"/>
        <v>0.1701</v>
      </c>
      <c r="BI20" s="44"/>
      <c r="BJ20" s="16" t="s">
        <v>229</v>
      </c>
      <c r="BK20" s="33">
        <v>1</v>
      </c>
      <c r="BL20" s="33">
        <v>1</v>
      </c>
      <c r="BM20" s="58">
        <f t="shared" si="7"/>
        <v>0.1701</v>
      </c>
      <c r="BN20" s="45" t="s">
        <v>229</v>
      </c>
      <c r="BO20" s="117">
        <v>14</v>
      </c>
      <c r="BP20" s="113">
        <f t="shared" si="0"/>
        <v>0.1701</v>
      </c>
      <c r="BQ20" s="114">
        <f t="shared" si="8"/>
        <v>2.3383509728457801</v>
      </c>
      <c r="BR20" s="115">
        <f t="shared" si="5"/>
        <v>0.77550803576684924</v>
      </c>
      <c r="BS20" s="19"/>
      <c r="BW20" s="4" t="s">
        <v>141</v>
      </c>
      <c r="BX20" s="21">
        <v>1</v>
      </c>
      <c r="BY20" s="21">
        <v>1</v>
      </c>
      <c r="BZ20" s="21">
        <v>1</v>
      </c>
    </row>
    <row r="21" spans="3:78" ht="15" x14ac:dyDescent="0.25">
      <c r="J21" s="154"/>
      <c r="K21" s="4" t="s">
        <v>187</v>
      </c>
      <c r="L21" s="21" t="s">
        <v>229</v>
      </c>
      <c r="M21" s="21" t="s">
        <v>227</v>
      </c>
      <c r="N21" s="21" t="s">
        <v>218</v>
      </c>
      <c r="O21" s="21" t="s">
        <v>219</v>
      </c>
      <c r="P21" s="21" t="s">
        <v>220</v>
      </c>
      <c r="AF21" t="s">
        <v>187</v>
      </c>
      <c r="AG21" s="23">
        <v>10000</v>
      </c>
      <c r="AH21" s="23">
        <v>300000</v>
      </c>
      <c r="AI21" s="23">
        <v>1000000</v>
      </c>
      <c r="AJ21" s="23">
        <v>10000000</v>
      </c>
      <c r="AK21" s="23">
        <v>25000000</v>
      </c>
      <c r="AN21" t="s">
        <v>187</v>
      </c>
      <c r="AO21" s="65">
        <v>0.65439999999999998</v>
      </c>
      <c r="AR21" s="36" t="str">
        <f>$AS$21&amp;AU21</f>
        <v>Event 3RC1</v>
      </c>
      <c r="AS21" s="35" t="str">
        <f>Mapping!D5</f>
        <v>Event 3</v>
      </c>
      <c r="AT21" s="36" t="s">
        <v>173</v>
      </c>
      <c r="AU21" s="42" t="s">
        <v>222</v>
      </c>
      <c r="AV21" s="32">
        <v>0.5</v>
      </c>
      <c r="AW21" s="32">
        <v>0.5</v>
      </c>
      <c r="AX21" s="40">
        <f t="shared" si="2"/>
        <v>0.25</v>
      </c>
      <c r="AY21" s="41" t="s">
        <v>169</v>
      </c>
      <c r="AZ21" s="42" t="s">
        <v>222</v>
      </c>
      <c r="BA21" s="32">
        <v>0.75</v>
      </c>
      <c r="BB21" s="32">
        <v>0.25</v>
      </c>
      <c r="BC21" s="40">
        <f t="shared" si="3"/>
        <v>4.6875E-2</v>
      </c>
      <c r="BD21" s="41" t="s">
        <v>175</v>
      </c>
      <c r="BE21" s="42" t="s">
        <v>222</v>
      </c>
      <c r="BF21" s="32">
        <v>0.7</v>
      </c>
      <c r="BG21" s="32">
        <v>0.1</v>
      </c>
      <c r="BH21" s="40">
        <f t="shared" si="4"/>
        <v>3.2812499999999994E-3</v>
      </c>
      <c r="BI21" s="41" t="s">
        <v>224</v>
      </c>
      <c r="BJ21" s="1" t="s">
        <v>222</v>
      </c>
      <c r="BK21" s="32">
        <v>1</v>
      </c>
      <c r="BL21" s="32">
        <v>0.7</v>
      </c>
      <c r="BM21" s="57">
        <f t="shared" si="7"/>
        <v>2.2968749999999994E-3</v>
      </c>
      <c r="BN21" s="42" t="s">
        <v>222</v>
      </c>
      <c r="BO21" s="27">
        <v>2</v>
      </c>
      <c r="BP21" s="110">
        <f t="shared" si="0"/>
        <v>2.2968749999999999E-3</v>
      </c>
      <c r="BQ21" s="111">
        <f t="shared" si="8"/>
        <v>0.39244082379046707</v>
      </c>
      <c r="BR21" s="112">
        <f t="shared" si="5"/>
        <v>0.77550803576684901</v>
      </c>
      <c r="BS21" s="19"/>
      <c r="BW21" s="4" t="s">
        <v>187</v>
      </c>
      <c r="BX21" s="21">
        <v>1</v>
      </c>
      <c r="BY21" s="21">
        <v>1</v>
      </c>
      <c r="BZ21" s="21">
        <v>1</v>
      </c>
    </row>
    <row r="22" spans="3:78" ht="15" x14ac:dyDescent="0.25">
      <c r="J22" s="154"/>
      <c r="K22" s="4" t="s">
        <v>145</v>
      </c>
      <c r="L22" s="21" t="s">
        <v>218</v>
      </c>
      <c r="M22" s="21" t="s">
        <v>219</v>
      </c>
      <c r="N22" s="21" t="s">
        <v>220</v>
      </c>
      <c r="O22" s="21" t="s">
        <v>221</v>
      </c>
      <c r="P22" s="21" t="s">
        <v>222</v>
      </c>
      <c r="AF22" t="s">
        <v>145</v>
      </c>
      <c r="AG22" s="23">
        <v>10000</v>
      </c>
      <c r="AH22" s="23">
        <v>300000</v>
      </c>
      <c r="AI22" s="23">
        <v>1000000</v>
      </c>
      <c r="AJ22" s="23">
        <v>10000000</v>
      </c>
      <c r="AK22" s="23">
        <v>25000000</v>
      </c>
      <c r="AN22" t="s">
        <v>145</v>
      </c>
      <c r="AO22" s="65">
        <v>0.22789999999999999</v>
      </c>
      <c r="AR22" s="36" t="str">
        <f t="shared" ref="AR22:AR27" si="12">$AS$21&amp;AU22</f>
        <v>Event 3RC2</v>
      </c>
      <c r="AS22" s="36"/>
      <c r="AT22" s="36"/>
      <c r="AU22" s="42" t="s">
        <v>221</v>
      </c>
      <c r="AV22" s="32">
        <v>0.5</v>
      </c>
      <c r="AW22" s="32">
        <v>0.54166666666666663</v>
      </c>
      <c r="AX22" s="40">
        <f t="shared" si="2"/>
        <v>0.27083333333333331</v>
      </c>
      <c r="AY22" s="41"/>
      <c r="AZ22" s="42" t="s">
        <v>221</v>
      </c>
      <c r="BA22" s="32">
        <v>0.75</v>
      </c>
      <c r="BB22" s="32">
        <v>0.33333333333333331</v>
      </c>
      <c r="BC22" s="40">
        <f t="shared" si="3"/>
        <v>6.7708333333333329E-2</v>
      </c>
      <c r="BD22" s="41"/>
      <c r="BE22" s="42" t="s">
        <v>221</v>
      </c>
      <c r="BF22" s="32">
        <v>0.7</v>
      </c>
      <c r="BG22" s="32">
        <v>0.16666666666666669</v>
      </c>
      <c r="BH22" s="40">
        <f t="shared" si="4"/>
        <v>7.8993055555555552E-3</v>
      </c>
      <c r="BI22" s="41"/>
      <c r="BJ22" s="1" t="s">
        <v>221</v>
      </c>
      <c r="BK22" s="32">
        <v>1</v>
      </c>
      <c r="BL22" s="32">
        <v>0.73</v>
      </c>
      <c r="BM22" s="57">
        <f t="shared" si="7"/>
        <v>5.7664930555555551E-3</v>
      </c>
      <c r="BN22" s="42" t="s">
        <v>221</v>
      </c>
      <c r="BO22" s="27">
        <v>5</v>
      </c>
      <c r="BP22" s="110">
        <f t="shared" si="0"/>
        <v>5.7664930555555551E-3</v>
      </c>
      <c r="BQ22" s="111">
        <f t="shared" si="8"/>
        <v>1.3087315556646217</v>
      </c>
      <c r="BR22" s="112">
        <f t="shared" si="5"/>
        <v>0.77550803576684968</v>
      </c>
      <c r="BS22" s="19"/>
      <c r="BW22" s="4" t="s">
        <v>145</v>
      </c>
      <c r="BX22" s="21">
        <v>1</v>
      </c>
      <c r="BY22" s="21">
        <v>1</v>
      </c>
      <c r="BZ22" s="21">
        <v>0</v>
      </c>
    </row>
    <row r="23" spans="3:78" ht="15" x14ac:dyDescent="0.25">
      <c r="J23" s="154"/>
      <c r="K23" s="4" t="s">
        <v>147</v>
      </c>
      <c r="L23" s="21" t="s">
        <v>218</v>
      </c>
      <c r="M23" s="21" t="s">
        <v>219</v>
      </c>
      <c r="N23" s="21" t="s">
        <v>220</v>
      </c>
      <c r="O23" s="21" t="s">
        <v>221</v>
      </c>
      <c r="P23" s="21" t="s">
        <v>222</v>
      </c>
      <c r="AF23" t="s">
        <v>147</v>
      </c>
      <c r="AG23" s="23">
        <v>10000</v>
      </c>
      <c r="AH23" s="23">
        <v>300000</v>
      </c>
      <c r="AI23" s="23">
        <v>1000000</v>
      </c>
      <c r="AJ23" s="23">
        <v>10000000</v>
      </c>
      <c r="AK23" s="23">
        <v>25000000</v>
      </c>
      <c r="AN23" t="s">
        <v>147</v>
      </c>
      <c r="AO23" s="65">
        <v>0.40179999999999999</v>
      </c>
      <c r="AR23" s="36" t="str">
        <f t="shared" si="12"/>
        <v>Event 3RC3</v>
      </c>
      <c r="AS23" s="36"/>
      <c r="AT23" s="36"/>
      <c r="AU23" s="42" t="s">
        <v>220</v>
      </c>
      <c r="AV23" s="32">
        <v>0.5</v>
      </c>
      <c r="AW23" s="32">
        <v>0.58333333333333326</v>
      </c>
      <c r="AX23" s="40">
        <f t="shared" si="2"/>
        <v>0.29166666666666663</v>
      </c>
      <c r="AY23" s="41"/>
      <c r="AZ23" s="42" t="s">
        <v>220</v>
      </c>
      <c r="BA23" s="32">
        <v>0.75</v>
      </c>
      <c r="BB23" s="32">
        <v>0.41666666666666663</v>
      </c>
      <c r="BC23" s="40">
        <f t="shared" si="3"/>
        <v>9.1145833333333315E-2</v>
      </c>
      <c r="BD23" s="41"/>
      <c r="BE23" s="42" t="s">
        <v>220</v>
      </c>
      <c r="BF23" s="32">
        <v>0.7</v>
      </c>
      <c r="BG23" s="32">
        <v>0.23333333333333334</v>
      </c>
      <c r="BH23" s="40">
        <f t="shared" si="4"/>
        <v>1.4887152777777775E-2</v>
      </c>
      <c r="BI23" s="41"/>
      <c r="BJ23" s="1" t="s">
        <v>220</v>
      </c>
      <c r="BK23" s="32">
        <v>1</v>
      </c>
      <c r="BL23" s="32">
        <v>0.77</v>
      </c>
      <c r="BM23" s="57">
        <f t="shared" si="7"/>
        <v>1.1463107638888886E-2</v>
      </c>
      <c r="BN23" s="42" t="s">
        <v>220</v>
      </c>
      <c r="BO23" s="27">
        <v>8</v>
      </c>
      <c r="BP23" s="110">
        <f t="shared" si="0"/>
        <v>1.1463107638888886E-2</v>
      </c>
      <c r="BQ23" s="111">
        <f t="shared" si="8"/>
        <v>1.7787351849103574</v>
      </c>
      <c r="BR23" s="112">
        <f t="shared" si="5"/>
        <v>0.77550803576684924</v>
      </c>
      <c r="BS23" s="19"/>
      <c r="BW23" s="4" t="s">
        <v>147</v>
      </c>
      <c r="BX23" s="21">
        <v>1</v>
      </c>
      <c r="BY23" s="21">
        <v>1</v>
      </c>
      <c r="BZ23" s="21">
        <v>0</v>
      </c>
    </row>
    <row r="24" spans="3:78" ht="15" x14ac:dyDescent="0.25">
      <c r="J24" s="154"/>
      <c r="K24" s="4" t="s">
        <v>150</v>
      </c>
      <c r="L24" s="21" t="s">
        <v>227</v>
      </c>
      <c r="M24" s="21" t="s">
        <v>218</v>
      </c>
      <c r="N24" s="21" t="s">
        <v>219</v>
      </c>
      <c r="O24" s="21" t="s">
        <v>220</v>
      </c>
      <c r="P24" s="21" t="s">
        <v>221</v>
      </c>
      <c r="AF24" t="s">
        <v>150</v>
      </c>
      <c r="AG24" s="23">
        <v>10000</v>
      </c>
      <c r="AH24" s="23">
        <v>300000</v>
      </c>
      <c r="AI24" s="23">
        <v>1000000</v>
      </c>
      <c r="AJ24" s="23">
        <v>10000000</v>
      </c>
      <c r="AK24" s="23">
        <v>25000000</v>
      </c>
      <c r="AN24" t="s">
        <v>150</v>
      </c>
      <c r="AO24" s="65">
        <v>0.25274000000000002</v>
      </c>
      <c r="AR24" s="36" t="str">
        <f t="shared" si="12"/>
        <v>Event 3RC4</v>
      </c>
      <c r="AS24" s="36"/>
      <c r="AT24" s="36"/>
      <c r="AU24" s="42" t="s">
        <v>219</v>
      </c>
      <c r="AV24" s="32">
        <v>0.5</v>
      </c>
      <c r="AW24" s="32">
        <v>0.62499999999999989</v>
      </c>
      <c r="AX24" s="40">
        <f t="shared" si="2"/>
        <v>0.31249999999999994</v>
      </c>
      <c r="AY24" s="41"/>
      <c r="AZ24" s="42" t="s">
        <v>219</v>
      </c>
      <c r="BA24" s="32">
        <v>0.75</v>
      </c>
      <c r="BB24" s="32">
        <v>0.49999999999999994</v>
      </c>
      <c r="BC24" s="40">
        <f t="shared" si="3"/>
        <v>0.11718749999999996</v>
      </c>
      <c r="BD24" s="41"/>
      <c r="BE24" s="42" t="s">
        <v>219</v>
      </c>
      <c r="BF24" s="32">
        <v>0.7</v>
      </c>
      <c r="BG24" s="32">
        <v>0.3</v>
      </c>
      <c r="BH24" s="40">
        <f t="shared" si="4"/>
        <v>2.4609374999999989E-2</v>
      </c>
      <c r="BI24" s="41"/>
      <c r="BJ24" s="1" t="s">
        <v>219</v>
      </c>
      <c r="BK24" s="32">
        <v>1</v>
      </c>
      <c r="BL24" s="32">
        <v>0.8</v>
      </c>
      <c r="BM24" s="57">
        <f t="shared" si="7"/>
        <v>1.9687499999999993E-2</v>
      </c>
      <c r="BN24" s="42" t="s">
        <v>219</v>
      </c>
      <c r="BO24" s="27">
        <v>12</v>
      </c>
      <c r="BP24" s="110">
        <f t="shared" si="0"/>
        <v>1.9687499999999993E-2</v>
      </c>
      <c r="BQ24" s="111">
        <f t="shared" si="8"/>
        <v>2.184200293018522</v>
      </c>
      <c r="BR24" s="112">
        <f t="shared" si="5"/>
        <v>0.77550803576684924</v>
      </c>
      <c r="BS24" s="19"/>
      <c r="BW24" s="4" t="s">
        <v>150</v>
      </c>
      <c r="BX24" s="21">
        <v>1</v>
      </c>
      <c r="BY24" s="21">
        <v>1</v>
      </c>
      <c r="BZ24" s="21">
        <v>1</v>
      </c>
    </row>
    <row r="25" spans="3:78" ht="15" x14ac:dyDescent="0.25">
      <c r="J25" s="154"/>
      <c r="K25" s="4" t="s">
        <v>152</v>
      </c>
      <c r="L25" s="21" t="s">
        <v>229</v>
      </c>
      <c r="M25" s="21" t="s">
        <v>227</v>
      </c>
      <c r="N25" s="21" t="s">
        <v>218</v>
      </c>
      <c r="O25" s="21" t="s">
        <v>219</v>
      </c>
      <c r="P25" s="21" t="s">
        <v>220</v>
      </c>
      <c r="AF25" t="s">
        <v>152</v>
      </c>
      <c r="AG25" s="23">
        <v>10000</v>
      </c>
      <c r="AH25" s="23">
        <v>300000</v>
      </c>
      <c r="AI25" s="23">
        <v>1000000</v>
      </c>
      <c r="AJ25" s="23">
        <v>10000000</v>
      </c>
      <c r="AK25" s="23">
        <v>25000000</v>
      </c>
      <c r="AN25" t="s">
        <v>152</v>
      </c>
      <c r="AO25" s="65">
        <v>0.2964</v>
      </c>
      <c r="AR25" s="36" t="str">
        <f t="shared" si="12"/>
        <v>Event 3RC5</v>
      </c>
      <c r="AS25" s="36"/>
      <c r="AT25" s="36"/>
      <c r="AU25" s="42" t="s">
        <v>218</v>
      </c>
      <c r="AV25" s="32">
        <v>0.5</v>
      </c>
      <c r="AW25" s="32">
        <v>0.66666666666666652</v>
      </c>
      <c r="AX25" s="40">
        <f t="shared" si="2"/>
        <v>0.33333333333333326</v>
      </c>
      <c r="AY25" s="41"/>
      <c r="AZ25" s="42" t="s">
        <v>218</v>
      </c>
      <c r="BA25" s="32">
        <v>0.75</v>
      </c>
      <c r="BB25" s="32">
        <v>0.58333333333333326</v>
      </c>
      <c r="BC25" s="40">
        <f t="shared" si="3"/>
        <v>0.14583333333333329</v>
      </c>
      <c r="BD25" s="41"/>
      <c r="BE25" s="42" t="s">
        <v>218</v>
      </c>
      <c r="BF25" s="32">
        <v>0.7</v>
      </c>
      <c r="BG25" s="32">
        <v>0.36666666666666664</v>
      </c>
      <c r="BH25" s="40">
        <f t="shared" si="4"/>
        <v>3.7430555555555543E-2</v>
      </c>
      <c r="BI25" s="41"/>
      <c r="BJ25" s="1" t="s">
        <v>218</v>
      </c>
      <c r="BK25" s="32">
        <v>1</v>
      </c>
      <c r="BL25" s="32">
        <v>0.83</v>
      </c>
      <c r="BM25" s="57">
        <f t="shared" si="7"/>
        <v>3.1067361111111101E-2</v>
      </c>
      <c r="BN25" s="42" t="s">
        <v>218</v>
      </c>
      <c r="BO25" s="27">
        <v>17</v>
      </c>
      <c r="BP25" s="110">
        <f t="shared" si="0"/>
        <v>3.1067361111111091E-2</v>
      </c>
      <c r="BQ25" s="111">
        <f t="shared" si="8"/>
        <v>2.5325069872867378</v>
      </c>
      <c r="BR25" s="112">
        <f t="shared" si="5"/>
        <v>0.77550803576684924</v>
      </c>
      <c r="BS25" s="19"/>
      <c r="BW25" s="4" t="s">
        <v>152</v>
      </c>
      <c r="BX25" s="21">
        <v>1</v>
      </c>
      <c r="BY25" s="21">
        <v>1</v>
      </c>
      <c r="BZ25" s="21">
        <v>0</v>
      </c>
    </row>
    <row r="26" spans="3:78" ht="15" x14ac:dyDescent="0.25">
      <c r="J26" s="154"/>
      <c r="K26" s="4" t="s">
        <v>154</v>
      </c>
      <c r="L26" s="21" t="s">
        <v>229</v>
      </c>
      <c r="M26" s="21" t="s">
        <v>227</v>
      </c>
      <c r="N26" s="21" t="s">
        <v>218</v>
      </c>
      <c r="O26" s="21" t="s">
        <v>219</v>
      </c>
      <c r="P26" s="21" t="s">
        <v>220</v>
      </c>
      <c r="AF26" t="s">
        <v>154</v>
      </c>
      <c r="AG26" s="23">
        <v>10000</v>
      </c>
      <c r="AH26" s="23">
        <v>300000</v>
      </c>
      <c r="AI26" s="23">
        <v>1000000</v>
      </c>
      <c r="AJ26" s="23">
        <v>10000000</v>
      </c>
      <c r="AK26" s="23">
        <v>25000000</v>
      </c>
      <c r="AN26" t="s">
        <v>154</v>
      </c>
      <c r="AO26" s="65">
        <v>0.32846666666666663</v>
      </c>
      <c r="AR26" s="36" t="str">
        <f t="shared" si="12"/>
        <v>Event 3RC6</v>
      </c>
      <c r="AS26" s="36"/>
      <c r="AT26" s="36"/>
      <c r="AU26" s="42" t="s">
        <v>227</v>
      </c>
      <c r="AV26" s="32">
        <v>0.5</v>
      </c>
      <c r="AW26" s="32">
        <v>0.70833333333333315</v>
      </c>
      <c r="AX26" s="40">
        <f t="shared" si="2"/>
        <v>0.35416666666666657</v>
      </c>
      <c r="AY26" s="41"/>
      <c r="AZ26" s="42" t="s">
        <v>227</v>
      </c>
      <c r="BA26" s="32">
        <v>0.75</v>
      </c>
      <c r="BB26" s="32">
        <v>0.66666666666666663</v>
      </c>
      <c r="BC26" s="40">
        <f t="shared" si="3"/>
        <v>0.17708333333333329</v>
      </c>
      <c r="BD26" s="41"/>
      <c r="BE26" s="42" t="s">
        <v>227</v>
      </c>
      <c r="BF26" s="32">
        <v>0.7</v>
      </c>
      <c r="BG26" s="32">
        <v>0.43333333333333329</v>
      </c>
      <c r="BH26" s="40">
        <f t="shared" si="4"/>
        <v>5.3715277777777758E-2</v>
      </c>
      <c r="BI26" s="41"/>
      <c r="BJ26" s="1" t="s">
        <v>227</v>
      </c>
      <c r="BK26" s="32">
        <v>1</v>
      </c>
      <c r="BL26" s="32">
        <v>0.87</v>
      </c>
      <c r="BM26" s="57">
        <f t="shared" si="7"/>
        <v>4.6732291666666648E-2</v>
      </c>
      <c r="BN26" s="42" t="s">
        <v>227</v>
      </c>
      <c r="BO26" s="27">
        <v>23</v>
      </c>
      <c r="BP26" s="110">
        <f t="shared" si="0"/>
        <v>4.6732291666666648E-2</v>
      </c>
      <c r="BQ26" s="111">
        <f t="shared" si="8"/>
        <v>2.8347878591596714</v>
      </c>
      <c r="BR26" s="112">
        <f t="shared" si="5"/>
        <v>0.77550803576684924</v>
      </c>
      <c r="BS26" s="19"/>
      <c r="BW26" s="4" t="s">
        <v>154</v>
      </c>
      <c r="BX26" s="21">
        <v>1</v>
      </c>
      <c r="BY26" s="21">
        <v>1</v>
      </c>
      <c r="BZ26" s="21">
        <v>1</v>
      </c>
    </row>
    <row r="27" spans="3:78" ht="15" x14ac:dyDescent="0.25">
      <c r="J27" s="154"/>
      <c r="K27" s="4" t="s">
        <v>157</v>
      </c>
      <c r="L27" s="21" t="s">
        <v>227</v>
      </c>
      <c r="M27" s="21" t="s">
        <v>218</v>
      </c>
      <c r="N27" s="21" t="s">
        <v>219</v>
      </c>
      <c r="O27" s="21" t="s">
        <v>220</v>
      </c>
      <c r="P27" s="21" t="s">
        <v>221</v>
      </c>
      <c r="AF27" t="s">
        <v>157</v>
      </c>
      <c r="AG27" s="23">
        <v>10000</v>
      </c>
      <c r="AH27" s="23">
        <v>300000</v>
      </c>
      <c r="AI27" s="23">
        <v>1000000</v>
      </c>
      <c r="AJ27" s="23">
        <v>10000000</v>
      </c>
      <c r="AK27" s="23">
        <v>25000000</v>
      </c>
      <c r="AN27" t="s">
        <v>157</v>
      </c>
      <c r="AO27" s="65">
        <v>0.4612</v>
      </c>
      <c r="AR27" s="37" t="str">
        <f t="shared" si="12"/>
        <v>Event 3RC7</v>
      </c>
      <c r="AS27" s="37"/>
      <c r="AT27" s="37"/>
      <c r="AU27" s="45" t="s">
        <v>229</v>
      </c>
      <c r="AV27" s="33">
        <v>0.5</v>
      </c>
      <c r="AW27" s="33">
        <v>0.75</v>
      </c>
      <c r="AX27" s="43">
        <f t="shared" si="2"/>
        <v>0.375</v>
      </c>
      <c r="AY27" s="44"/>
      <c r="AZ27" s="45" t="s">
        <v>229</v>
      </c>
      <c r="BA27" s="33">
        <v>0.75</v>
      </c>
      <c r="BB27" s="33">
        <v>0.75</v>
      </c>
      <c r="BC27" s="43">
        <f t="shared" si="3"/>
        <v>0.2109375</v>
      </c>
      <c r="BD27" s="44"/>
      <c r="BE27" s="45" t="s">
        <v>229</v>
      </c>
      <c r="BF27" s="33">
        <v>0.7</v>
      </c>
      <c r="BG27" s="33">
        <v>0.5</v>
      </c>
      <c r="BH27" s="43">
        <f t="shared" si="4"/>
        <v>7.3828124999999994E-2</v>
      </c>
      <c r="BI27" s="44"/>
      <c r="BJ27" s="16" t="s">
        <v>229</v>
      </c>
      <c r="BK27" s="33">
        <v>1</v>
      </c>
      <c r="BL27" s="33">
        <v>0.9</v>
      </c>
      <c r="BM27" s="58">
        <f t="shared" si="7"/>
        <v>6.6445312499999992E-2</v>
      </c>
      <c r="BN27" s="45" t="s">
        <v>229</v>
      </c>
      <c r="BO27" s="28">
        <v>30</v>
      </c>
      <c r="BP27" s="113">
        <f t="shared" si="0"/>
        <v>6.6445312499999992E-2</v>
      </c>
      <c r="BQ27" s="114">
        <f t="shared" si="8"/>
        <v>3.100491024892678</v>
      </c>
      <c r="BR27" s="115">
        <f t="shared" si="5"/>
        <v>0.77550803576684835</v>
      </c>
      <c r="BS27" s="19"/>
      <c r="BW27" s="4" t="s">
        <v>157</v>
      </c>
      <c r="BX27" s="21">
        <v>1</v>
      </c>
      <c r="BY27" s="21">
        <v>1</v>
      </c>
      <c r="BZ27" s="21">
        <v>0</v>
      </c>
    </row>
    <row r="28" spans="3:78" x14ac:dyDescent="0.2">
      <c r="J28" s="154"/>
      <c r="K28" s="4" t="s">
        <v>159</v>
      </c>
      <c r="L28" s="21" t="s">
        <v>227</v>
      </c>
      <c r="M28" s="21" t="s">
        <v>218</v>
      </c>
      <c r="N28" s="21" t="s">
        <v>219</v>
      </c>
      <c r="O28" s="21" t="s">
        <v>220</v>
      </c>
      <c r="P28" s="21" t="s">
        <v>221</v>
      </c>
      <c r="AF28" t="s">
        <v>159</v>
      </c>
      <c r="AG28" s="23">
        <v>10000</v>
      </c>
      <c r="AH28" s="23">
        <v>300000</v>
      </c>
      <c r="AI28" s="23">
        <v>1000000</v>
      </c>
      <c r="AJ28" s="23">
        <v>10000000</v>
      </c>
      <c r="AK28" s="23">
        <v>25000000</v>
      </c>
      <c r="AN28" t="s">
        <v>159</v>
      </c>
      <c r="AO28" s="65">
        <v>0.25990000000000002</v>
      </c>
      <c r="BW28" s="4" t="s">
        <v>159</v>
      </c>
      <c r="BX28" s="21">
        <v>1</v>
      </c>
      <c r="BY28" s="21">
        <v>1</v>
      </c>
      <c r="BZ28" s="21">
        <v>1</v>
      </c>
    </row>
    <row r="29" spans="3:78" x14ac:dyDescent="0.2">
      <c r="J29" s="154"/>
      <c r="K29" s="4" t="s">
        <v>188</v>
      </c>
      <c r="L29" s="21" t="s">
        <v>229</v>
      </c>
      <c r="M29" s="21" t="s">
        <v>227</v>
      </c>
      <c r="N29" s="21" t="s">
        <v>218</v>
      </c>
      <c r="O29" s="21" t="s">
        <v>219</v>
      </c>
      <c r="P29" s="21" t="s">
        <v>220</v>
      </c>
      <c r="AF29" t="s">
        <v>188</v>
      </c>
      <c r="AG29" s="23">
        <v>10000</v>
      </c>
      <c r="AH29" s="23">
        <v>300000</v>
      </c>
      <c r="AI29" s="23">
        <v>1000000</v>
      </c>
      <c r="AJ29" s="23">
        <v>10000000</v>
      </c>
      <c r="AK29" s="23">
        <v>25000000</v>
      </c>
      <c r="AN29" t="s">
        <v>188</v>
      </c>
      <c r="AO29" s="65">
        <v>0.2011333333333333</v>
      </c>
      <c r="BW29" s="4" t="s">
        <v>188</v>
      </c>
      <c r="BX29" s="21">
        <v>1</v>
      </c>
      <c r="BY29" s="21">
        <v>1</v>
      </c>
      <c r="BZ29" s="21">
        <v>1</v>
      </c>
    </row>
    <row r="30" spans="3:78" x14ac:dyDescent="0.2">
      <c r="J30" s="155"/>
      <c r="K30" s="3" t="s">
        <v>143</v>
      </c>
      <c r="L30" s="21" t="s">
        <v>227</v>
      </c>
      <c r="M30" s="21" t="s">
        <v>218</v>
      </c>
      <c r="N30" s="21" t="s">
        <v>219</v>
      </c>
      <c r="O30" s="21" t="s">
        <v>220</v>
      </c>
      <c r="P30" s="21" t="s">
        <v>221</v>
      </c>
      <c r="AF30" t="s">
        <v>143</v>
      </c>
      <c r="AG30" s="23">
        <v>10000</v>
      </c>
      <c r="AH30" s="23">
        <v>300000</v>
      </c>
      <c r="AI30" s="23">
        <v>1000000</v>
      </c>
      <c r="AJ30" s="23">
        <v>10000000</v>
      </c>
      <c r="AK30" s="23">
        <v>25000000</v>
      </c>
      <c r="AN30" t="s">
        <v>143</v>
      </c>
      <c r="AO30" s="65">
        <v>0.2964</v>
      </c>
      <c r="BW30" s="4" t="s">
        <v>143</v>
      </c>
      <c r="BX30" s="21">
        <v>1</v>
      </c>
      <c r="BY30" s="21">
        <v>1</v>
      </c>
      <c r="BZ30" s="21">
        <v>0</v>
      </c>
    </row>
    <row r="32" spans="3:78" x14ac:dyDescent="0.2">
      <c r="BW32" t="s">
        <v>232</v>
      </c>
    </row>
    <row r="33" spans="29:76" x14ac:dyDescent="0.2">
      <c r="BW33" s="68" t="s">
        <v>216</v>
      </c>
      <c r="BX33" s="68" t="str">
        <f>Results!C4</f>
        <v>Event 1</v>
      </c>
    </row>
    <row r="34" spans="29:76" x14ac:dyDescent="0.2">
      <c r="BW34" t="s">
        <v>167</v>
      </c>
      <c r="BX34">
        <f>VLOOKUP(BW34,$BW$7:$BZ$30,MATCH($BX$33,$BW$6:$BZ$6),FALSE)</f>
        <v>1</v>
      </c>
    </row>
    <row r="35" spans="29:76" x14ac:dyDescent="0.2">
      <c r="BW35" t="s">
        <v>172</v>
      </c>
      <c r="BX35">
        <f t="shared" ref="BX35:BX57" si="13">VLOOKUP(BW35,$BW$7:$BZ$30,MATCH($BX$33,$BW$6:$BZ$6),FALSE)</f>
        <v>1</v>
      </c>
    </row>
    <row r="36" spans="29:76" x14ac:dyDescent="0.2">
      <c r="BW36" t="s">
        <v>118</v>
      </c>
      <c r="BX36">
        <f t="shared" si="13"/>
        <v>1</v>
      </c>
    </row>
    <row r="37" spans="29:76" x14ac:dyDescent="0.2">
      <c r="AC37" t="s">
        <v>189</v>
      </c>
      <c r="BW37" t="s">
        <v>120</v>
      </c>
      <c r="BX37">
        <f t="shared" si="13"/>
        <v>1</v>
      </c>
    </row>
    <row r="38" spans="29:76" x14ac:dyDescent="0.2">
      <c r="BW38" t="s">
        <v>122</v>
      </c>
      <c r="BX38">
        <f t="shared" si="13"/>
        <v>1</v>
      </c>
    </row>
    <row r="39" spans="29:76" x14ac:dyDescent="0.2">
      <c r="BW39" t="s">
        <v>124</v>
      </c>
      <c r="BX39">
        <f t="shared" si="13"/>
        <v>1</v>
      </c>
    </row>
    <row r="40" spans="29:76" x14ac:dyDescent="0.2">
      <c r="BW40" t="s">
        <v>126</v>
      </c>
      <c r="BX40">
        <f t="shared" si="13"/>
        <v>1</v>
      </c>
    </row>
    <row r="41" spans="29:76" x14ac:dyDescent="0.2">
      <c r="BW41" t="s">
        <v>128</v>
      </c>
      <c r="BX41">
        <f t="shared" si="13"/>
        <v>1</v>
      </c>
    </row>
    <row r="42" spans="29:76" x14ac:dyDescent="0.2">
      <c r="BW42" t="s">
        <v>130</v>
      </c>
      <c r="BX42">
        <f t="shared" si="13"/>
        <v>1</v>
      </c>
    </row>
    <row r="43" spans="29:76" x14ac:dyDescent="0.2">
      <c r="BW43" t="s">
        <v>132</v>
      </c>
      <c r="BX43">
        <f t="shared" si="13"/>
        <v>1</v>
      </c>
    </row>
    <row r="44" spans="29:76" x14ac:dyDescent="0.2">
      <c r="BW44" t="s">
        <v>134</v>
      </c>
      <c r="BX44">
        <f t="shared" si="13"/>
        <v>1</v>
      </c>
    </row>
    <row r="45" spans="29:76" x14ac:dyDescent="0.2">
      <c r="BW45" t="s">
        <v>136</v>
      </c>
      <c r="BX45">
        <f t="shared" si="13"/>
        <v>1</v>
      </c>
    </row>
    <row r="46" spans="29:76" x14ac:dyDescent="0.2">
      <c r="BW46" t="s">
        <v>139</v>
      </c>
      <c r="BX46">
        <f t="shared" si="13"/>
        <v>1</v>
      </c>
    </row>
    <row r="47" spans="29:76" x14ac:dyDescent="0.2">
      <c r="BW47" t="s">
        <v>141</v>
      </c>
      <c r="BX47">
        <f t="shared" si="13"/>
        <v>1</v>
      </c>
    </row>
    <row r="48" spans="29:76" x14ac:dyDescent="0.2">
      <c r="BW48" t="s">
        <v>187</v>
      </c>
      <c r="BX48">
        <f t="shared" si="13"/>
        <v>1</v>
      </c>
    </row>
    <row r="49" spans="75:76" x14ac:dyDescent="0.2">
      <c r="BW49" t="s">
        <v>145</v>
      </c>
      <c r="BX49">
        <f t="shared" si="13"/>
        <v>1</v>
      </c>
    </row>
    <row r="50" spans="75:76" x14ac:dyDescent="0.2">
      <c r="BW50" t="s">
        <v>147</v>
      </c>
      <c r="BX50">
        <f t="shared" si="13"/>
        <v>1</v>
      </c>
    </row>
    <row r="51" spans="75:76" x14ac:dyDescent="0.2">
      <c r="BW51" t="s">
        <v>150</v>
      </c>
      <c r="BX51">
        <f t="shared" si="13"/>
        <v>1</v>
      </c>
    </row>
    <row r="52" spans="75:76" x14ac:dyDescent="0.2">
      <c r="BW52" t="s">
        <v>152</v>
      </c>
      <c r="BX52">
        <f t="shared" si="13"/>
        <v>1</v>
      </c>
    </row>
    <row r="53" spans="75:76" x14ac:dyDescent="0.2">
      <c r="BW53" t="s">
        <v>154</v>
      </c>
      <c r="BX53">
        <f t="shared" si="13"/>
        <v>1</v>
      </c>
    </row>
    <row r="54" spans="75:76" x14ac:dyDescent="0.2">
      <c r="BW54" t="s">
        <v>157</v>
      </c>
      <c r="BX54">
        <f t="shared" si="13"/>
        <v>1</v>
      </c>
    </row>
    <row r="55" spans="75:76" x14ac:dyDescent="0.2">
      <c r="BW55" t="s">
        <v>159</v>
      </c>
      <c r="BX55">
        <f t="shared" si="13"/>
        <v>1</v>
      </c>
    </row>
    <row r="56" spans="75:76" x14ac:dyDescent="0.2">
      <c r="BW56" t="s">
        <v>188</v>
      </c>
      <c r="BX56">
        <f t="shared" si="13"/>
        <v>1</v>
      </c>
    </row>
    <row r="57" spans="75:76" x14ac:dyDescent="0.2">
      <c r="BW57" t="s">
        <v>143</v>
      </c>
      <c r="BX57">
        <f t="shared" si="13"/>
        <v>1</v>
      </c>
    </row>
  </sheetData>
  <mergeCells count="10">
    <mergeCell ref="BQ5:BR5"/>
    <mergeCell ref="BN5:BO5"/>
    <mergeCell ref="BI5:BM5"/>
    <mergeCell ref="D6:G6"/>
    <mergeCell ref="B8:B11"/>
    <mergeCell ref="AT5:AX5"/>
    <mergeCell ref="AY5:BC5"/>
    <mergeCell ref="BD5:BH5"/>
    <mergeCell ref="L5:P5"/>
    <mergeCell ref="J7:J30"/>
  </mergeCells>
  <phoneticPr fontId="7" type="noConversion"/>
  <conditionalFormatting sqref="C7 C13">
    <cfRule type="cellIs" dxfId="54" priority="90" operator="equal">
      <formula>$B$7</formula>
    </cfRule>
    <cfRule type="cellIs" dxfId="53" priority="91" operator="equal">
      <formula>$A$12</formula>
    </cfRule>
    <cfRule type="cellIs" dxfId="52" priority="92" operator="equal">
      <formula>$A$11</formula>
    </cfRule>
    <cfRule type="cellIs" dxfId="51" priority="93" operator="equal">
      <formula>$A$10</formula>
    </cfRule>
    <cfRule type="cellIs" dxfId="50" priority="94" operator="equal">
      <formula>$A$9</formula>
    </cfRule>
    <cfRule type="cellIs" dxfId="49" priority="95" operator="equal">
      <formula>$A$8</formula>
    </cfRule>
    <cfRule type="cellIs" dxfId="48" priority="96" operator="equal">
      <formula>$A$7</formula>
    </cfRule>
    <cfRule type="cellIs" dxfId="47" priority="97" operator="equal">
      <formula>$A$6</formula>
    </cfRule>
  </conditionalFormatting>
  <conditionalFormatting sqref="L7:P30">
    <cfRule type="containsText" dxfId="46" priority="1" operator="containsText" text="RC1">
      <formula>NOT(ISERROR(SEARCH("RC1",L7)))</formula>
    </cfRule>
    <cfRule type="containsText" dxfId="45" priority="2" operator="containsText" text="RC2">
      <formula>NOT(ISERROR(SEARCH("RC2",L7)))</formula>
    </cfRule>
    <cfRule type="containsText" dxfId="44" priority="3" operator="containsText" text="RC3">
      <formula>NOT(ISERROR(SEARCH("RC3",L7)))</formula>
    </cfRule>
    <cfRule type="containsText" dxfId="43" priority="4" operator="containsText" text="RC4">
      <formula>NOT(ISERROR(SEARCH("RC4",L7)))</formula>
    </cfRule>
    <cfRule type="containsText" dxfId="42" priority="5" operator="containsText" text="RC5">
      <formula>NOT(ISERROR(SEARCH("RC5",L7)))</formula>
    </cfRule>
    <cfRule type="containsText" dxfId="41" priority="6" operator="containsText" text="RC6">
      <formula>NOT(ISERROR(SEARCH("RC6",L7)))</formula>
    </cfRule>
    <cfRule type="containsText" dxfId="40" priority="7" operator="containsText" text="RC7">
      <formula>NOT(ISERROR(SEARCH("RC7",L7)))</formula>
    </cfRule>
  </conditionalFormatting>
  <conditionalFormatting sqref="AU7:AU27">
    <cfRule type="cellIs" dxfId="39" priority="42" operator="equal">
      <formula>$C$22</formula>
    </cfRule>
    <cfRule type="cellIs" dxfId="38" priority="43" operator="equal">
      <formula>$B$27</formula>
    </cfRule>
    <cfRule type="cellIs" dxfId="37" priority="44" operator="equal">
      <formula>$B$26</formula>
    </cfRule>
    <cfRule type="cellIs" dxfId="36" priority="45" operator="equal">
      <formula>$B$25</formula>
    </cfRule>
    <cfRule type="cellIs" dxfId="35" priority="46" operator="equal">
      <formula>$B$24</formula>
    </cfRule>
    <cfRule type="cellIs" dxfId="34" priority="47" operator="equal">
      <formula>$B$23</formula>
    </cfRule>
    <cfRule type="cellIs" dxfId="33" priority="48" operator="equal">
      <formula>$B$22</formula>
    </cfRule>
    <cfRule type="cellIs" dxfId="32" priority="49" operator="equal">
      <formula>$B$6</formula>
    </cfRule>
  </conditionalFormatting>
  <conditionalFormatting sqref="AZ7:AZ27">
    <cfRule type="cellIs" dxfId="31" priority="34" operator="equal">
      <formula>$C$22</formula>
    </cfRule>
    <cfRule type="cellIs" dxfId="30" priority="35" operator="equal">
      <formula>$B$27</formula>
    </cfRule>
    <cfRule type="cellIs" dxfId="29" priority="36" operator="equal">
      <formula>$B$26</formula>
    </cfRule>
    <cfRule type="cellIs" dxfId="28" priority="37" operator="equal">
      <formula>$B$25</formula>
    </cfRule>
    <cfRule type="cellIs" dxfId="27" priority="38" operator="equal">
      <formula>$B$24</formula>
    </cfRule>
    <cfRule type="cellIs" dxfId="26" priority="39" operator="equal">
      <formula>$B$23</formula>
    </cfRule>
    <cfRule type="cellIs" dxfId="25" priority="40" operator="equal">
      <formula>$B$22</formula>
    </cfRule>
    <cfRule type="cellIs" dxfId="24" priority="41" operator="equal">
      <formula>$B$6</formula>
    </cfRule>
  </conditionalFormatting>
  <conditionalFormatting sqref="BE7:BE27">
    <cfRule type="cellIs" dxfId="23" priority="26" operator="equal">
      <formula>$C$22</formula>
    </cfRule>
    <cfRule type="cellIs" dxfId="22" priority="27" operator="equal">
      <formula>$B$27</formula>
    </cfRule>
    <cfRule type="cellIs" dxfId="21" priority="28" operator="equal">
      <formula>$B$26</formula>
    </cfRule>
    <cfRule type="cellIs" dxfId="20" priority="29" operator="equal">
      <formula>$B$25</formula>
    </cfRule>
    <cfRule type="cellIs" dxfId="19" priority="30" operator="equal">
      <formula>$B$24</formula>
    </cfRule>
    <cfRule type="cellIs" dxfId="18" priority="31" operator="equal">
      <formula>$B$23</formula>
    </cfRule>
    <cfRule type="cellIs" dxfId="17" priority="32" operator="equal">
      <formula>$B$22</formula>
    </cfRule>
    <cfRule type="cellIs" dxfId="16" priority="33" operator="equal">
      <formula>$B$6</formula>
    </cfRule>
  </conditionalFormatting>
  <conditionalFormatting sqref="BJ7:BJ27">
    <cfRule type="cellIs" dxfId="15" priority="18" operator="equal">
      <formula>$C$22</formula>
    </cfRule>
    <cfRule type="cellIs" dxfId="14" priority="19" operator="equal">
      <formula>$B$27</formula>
    </cfRule>
    <cfRule type="cellIs" dxfId="13" priority="20" operator="equal">
      <formula>$B$26</formula>
    </cfRule>
    <cfRule type="cellIs" dxfId="12" priority="21" operator="equal">
      <formula>$B$25</formula>
    </cfRule>
    <cfRule type="cellIs" dxfId="11" priority="22" operator="equal">
      <formula>$B$24</formula>
    </cfRule>
    <cfRule type="cellIs" dxfId="10" priority="23" operator="equal">
      <formula>$B$23</formula>
    </cfRule>
    <cfRule type="cellIs" dxfId="9" priority="24" operator="equal">
      <formula>$B$22</formula>
    </cfRule>
    <cfRule type="cellIs" dxfId="8" priority="25" operator="equal">
      <formula>$B$6</formula>
    </cfRule>
  </conditionalFormatting>
  <conditionalFormatting sqref="BN7:BN27">
    <cfRule type="cellIs" dxfId="7" priority="10" operator="equal">
      <formula>$C$22</formula>
    </cfRule>
    <cfRule type="cellIs" dxfId="6" priority="11" operator="equal">
      <formula>$B$27</formula>
    </cfRule>
    <cfRule type="cellIs" dxfId="5" priority="12" operator="equal">
      <formula>$B$26</formula>
    </cfRule>
    <cfRule type="cellIs" dxfId="4" priority="13" operator="equal">
      <formula>$B$25</formula>
    </cfRule>
    <cfRule type="cellIs" dxfId="3" priority="14" operator="equal">
      <formula>$B$24</formula>
    </cfRule>
    <cfRule type="cellIs" dxfId="2" priority="15" operator="equal">
      <formula>$B$23</formula>
    </cfRule>
    <cfRule type="cellIs" dxfId="1" priority="16" operator="equal">
      <formula>$B$22</formula>
    </cfRule>
    <cfRule type="cellIs" dxfId="0" priority="17" operator="equal">
      <formula>$B$6</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9EDD5855-86B4-4C9E-90D1-E43D64C123B9}">
          <x14:formula1>
            <xm:f>Mapping!$L$3:$L$9</xm:f>
          </x14:formula1>
          <xm:sqref>AT7 AT21 AT14</xm:sqref>
        </x14:dataValidation>
        <x14:dataValidation type="list" allowBlank="1" showInputMessage="1" showErrorMessage="1" xr:uid="{BC70F73B-2B79-4822-A7A7-B1A7F78D9675}">
          <x14:formula1>
            <xm:f>Mapping!$M$3:$M$5</xm:f>
          </x14:formula1>
          <xm:sqref>AY7 AY21 AY14</xm:sqref>
        </x14:dataValidation>
        <x14:dataValidation type="list" allowBlank="1" showInputMessage="1" showErrorMessage="1" xr:uid="{7869C125-93D8-4DF0-B8F1-916B252175FC}">
          <x14:formula1>
            <xm:f>Mapping!$N$3:$N$8</xm:f>
          </x14:formula1>
          <xm:sqref>BD7 BD21 BD14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144A9-885E-43CA-BB58-8682047DCF3C}">
  <sheetPr>
    <tabColor theme="1"/>
  </sheetPr>
  <dimension ref="A1:M43"/>
  <sheetViews>
    <sheetView showGridLines="0" workbookViewId="0">
      <selection sqref="A1:M43"/>
    </sheetView>
  </sheetViews>
  <sheetFormatPr defaultRowHeight="12.75" x14ac:dyDescent="0.2"/>
  <sheetData>
    <row r="1" spans="1:13" ht="12.75" customHeight="1" x14ac:dyDescent="0.2">
      <c r="A1" s="156" t="s">
        <v>235</v>
      </c>
      <c r="B1" s="156"/>
      <c r="C1" s="156"/>
      <c r="D1" s="156"/>
      <c r="E1" s="156"/>
      <c r="F1" s="156"/>
      <c r="G1" s="156"/>
      <c r="H1" s="156"/>
      <c r="I1" s="156"/>
      <c r="J1" s="156"/>
      <c r="K1" s="156"/>
      <c r="L1" s="156"/>
      <c r="M1" s="156"/>
    </row>
    <row r="2" spans="1:13" x14ac:dyDescent="0.2">
      <c r="A2" s="157"/>
      <c r="B2" s="157"/>
      <c r="C2" s="157"/>
      <c r="D2" s="157"/>
      <c r="E2" s="157"/>
      <c r="F2" s="157"/>
      <c r="G2" s="157"/>
      <c r="H2" s="157"/>
      <c r="I2" s="157"/>
      <c r="J2" s="157"/>
      <c r="K2" s="157"/>
      <c r="L2" s="157"/>
      <c r="M2" s="157"/>
    </row>
    <row r="3" spans="1:13" x14ac:dyDescent="0.2">
      <c r="A3" s="157"/>
      <c r="B3" s="157"/>
      <c r="C3" s="157"/>
      <c r="D3" s="157"/>
      <c r="E3" s="157"/>
      <c r="F3" s="157"/>
      <c r="G3" s="157"/>
      <c r="H3" s="157"/>
      <c r="I3" s="157"/>
      <c r="J3" s="157"/>
      <c r="K3" s="157"/>
      <c r="L3" s="157"/>
      <c r="M3" s="157"/>
    </row>
    <row r="4" spans="1:13" x14ac:dyDescent="0.2">
      <c r="A4" s="157"/>
      <c r="B4" s="157"/>
      <c r="C4" s="157"/>
      <c r="D4" s="157"/>
      <c r="E4" s="157"/>
      <c r="F4" s="157"/>
      <c r="G4" s="157"/>
      <c r="H4" s="157"/>
      <c r="I4" s="157"/>
      <c r="J4" s="157"/>
      <c r="K4" s="157"/>
      <c r="L4" s="157"/>
      <c r="M4" s="157"/>
    </row>
    <row r="5" spans="1:13" x14ac:dyDescent="0.2">
      <c r="A5" s="157"/>
      <c r="B5" s="157"/>
      <c r="C5" s="157"/>
      <c r="D5" s="157"/>
      <c r="E5" s="157"/>
      <c r="F5" s="157"/>
      <c r="G5" s="157"/>
      <c r="H5" s="157"/>
      <c r="I5" s="157"/>
      <c r="J5" s="157"/>
      <c r="K5" s="157"/>
      <c r="L5" s="157"/>
      <c r="M5" s="157"/>
    </row>
    <row r="6" spans="1:13" x14ac:dyDescent="0.2">
      <c r="A6" s="157"/>
      <c r="B6" s="157"/>
      <c r="C6" s="157"/>
      <c r="D6" s="157"/>
      <c r="E6" s="157"/>
      <c r="F6" s="157"/>
      <c r="G6" s="157"/>
      <c r="H6" s="157"/>
      <c r="I6" s="157"/>
      <c r="J6" s="157"/>
      <c r="K6" s="157"/>
      <c r="L6" s="157"/>
      <c r="M6" s="157"/>
    </row>
    <row r="7" spans="1:13" x14ac:dyDescent="0.2">
      <c r="A7" s="157"/>
      <c r="B7" s="157"/>
      <c r="C7" s="157"/>
      <c r="D7" s="157"/>
      <c r="E7" s="157"/>
      <c r="F7" s="157"/>
      <c r="G7" s="157"/>
      <c r="H7" s="157"/>
      <c r="I7" s="157"/>
      <c r="J7" s="157"/>
      <c r="K7" s="157"/>
      <c r="L7" s="157"/>
      <c r="M7" s="157"/>
    </row>
    <row r="8" spans="1:13" x14ac:dyDescent="0.2">
      <c r="A8" s="157"/>
      <c r="B8" s="157"/>
      <c r="C8" s="157"/>
      <c r="D8" s="157"/>
      <c r="E8" s="157"/>
      <c r="F8" s="157"/>
      <c r="G8" s="157"/>
      <c r="H8" s="157"/>
      <c r="I8" s="157"/>
      <c r="J8" s="157"/>
      <c r="K8" s="157"/>
      <c r="L8" s="157"/>
      <c r="M8" s="157"/>
    </row>
    <row r="9" spans="1:13" x14ac:dyDescent="0.2">
      <c r="A9" s="157"/>
      <c r="B9" s="157"/>
      <c r="C9" s="157"/>
      <c r="D9" s="157"/>
      <c r="E9" s="157"/>
      <c r="F9" s="157"/>
      <c r="G9" s="157"/>
      <c r="H9" s="157"/>
      <c r="I9" s="157"/>
      <c r="J9" s="157"/>
      <c r="K9" s="157"/>
      <c r="L9" s="157"/>
      <c r="M9" s="157"/>
    </row>
    <row r="10" spans="1:13" x14ac:dyDescent="0.2">
      <c r="A10" s="157"/>
      <c r="B10" s="157"/>
      <c r="C10" s="157"/>
      <c r="D10" s="157"/>
      <c r="E10" s="157"/>
      <c r="F10" s="157"/>
      <c r="G10" s="157"/>
      <c r="H10" s="157"/>
      <c r="I10" s="157"/>
      <c r="J10" s="157"/>
      <c r="K10" s="157"/>
      <c r="L10" s="157"/>
      <c r="M10" s="157"/>
    </row>
    <row r="11" spans="1:13" x14ac:dyDescent="0.2">
      <c r="A11" s="157"/>
      <c r="B11" s="157"/>
      <c r="C11" s="157"/>
      <c r="D11" s="157"/>
      <c r="E11" s="157"/>
      <c r="F11" s="157"/>
      <c r="G11" s="157"/>
      <c r="H11" s="157"/>
      <c r="I11" s="157"/>
      <c r="J11" s="157"/>
      <c r="K11" s="157"/>
      <c r="L11" s="157"/>
      <c r="M11" s="157"/>
    </row>
    <row r="12" spans="1:13" x14ac:dyDescent="0.2">
      <c r="A12" s="157"/>
      <c r="B12" s="157"/>
      <c r="C12" s="157"/>
      <c r="D12" s="157"/>
      <c r="E12" s="157"/>
      <c r="F12" s="157"/>
      <c r="G12" s="157"/>
      <c r="H12" s="157"/>
      <c r="I12" s="157"/>
      <c r="J12" s="157"/>
      <c r="K12" s="157"/>
      <c r="L12" s="157"/>
      <c r="M12" s="157"/>
    </row>
    <row r="13" spans="1:13" x14ac:dyDescent="0.2">
      <c r="A13" s="157"/>
      <c r="B13" s="157"/>
      <c r="C13" s="157"/>
      <c r="D13" s="157"/>
      <c r="E13" s="157"/>
      <c r="F13" s="157"/>
      <c r="G13" s="157"/>
      <c r="H13" s="157"/>
      <c r="I13" s="157"/>
      <c r="J13" s="157"/>
      <c r="K13" s="157"/>
      <c r="L13" s="157"/>
      <c r="M13" s="157"/>
    </row>
    <row r="14" spans="1:13" x14ac:dyDescent="0.2">
      <c r="A14" s="157"/>
      <c r="B14" s="157"/>
      <c r="C14" s="157"/>
      <c r="D14" s="157"/>
      <c r="E14" s="157"/>
      <c r="F14" s="157"/>
      <c r="G14" s="157"/>
      <c r="H14" s="157"/>
      <c r="I14" s="157"/>
      <c r="J14" s="157"/>
      <c r="K14" s="157"/>
      <c r="L14" s="157"/>
      <c r="M14" s="157"/>
    </row>
    <row r="15" spans="1:13" x14ac:dyDescent="0.2">
      <c r="A15" s="157"/>
      <c r="B15" s="157"/>
      <c r="C15" s="157"/>
      <c r="D15" s="157"/>
      <c r="E15" s="157"/>
      <c r="F15" s="157"/>
      <c r="G15" s="157"/>
      <c r="H15" s="157"/>
      <c r="I15" s="157"/>
      <c r="J15" s="157"/>
      <c r="K15" s="157"/>
      <c r="L15" s="157"/>
      <c r="M15" s="157"/>
    </row>
    <row r="16" spans="1:13" x14ac:dyDescent="0.2">
      <c r="A16" s="157"/>
      <c r="B16" s="157"/>
      <c r="C16" s="157"/>
      <c r="D16" s="157"/>
      <c r="E16" s="157"/>
      <c r="F16" s="157"/>
      <c r="G16" s="157"/>
      <c r="H16" s="157"/>
      <c r="I16" s="157"/>
      <c r="J16" s="157"/>
      <c r="K16" s="157"/>
      <c r="L16" s="157"/>
      <c r="M16" s="157"/>
    </row>
    <row r="17" spans="1:13" x14ac:dyDescent="0.2">
      <c r="A17" s="157"/>
      <c r="B17" s="157"/>
      <c r="C17" s="157"/>
      <c r="D17" s="157"/>
      <c r="E17" s="157"/>
      <c r="F17" s="157"/>
      <c r="G17" s="157"/>
      <c r="H17" s="157"/>
      <c r="I17" s="157"/>
      <c r="J17" s="157"/>
      <c r="K17" s="157"/>
      <c r="L17" s="157"/>
      <c r="M17" s="157"/>
    </row>
    <row r="18" spans="1:13" x14ac:dyDescent="0.2">
      <c r="A18" s="157"/>
      <c r="B18" s="157"/>
      <c r="C18" s="157"/>
      <c r="D18" s="157"/>
      <c r="E18" s="157"/>
      <c r="F18" s="157"/>
      <c r="G18" s="157"/>
      <c r="H18" s="157"/>
      <c r="I18" s="157"/>
      <c r="J18" s="157"/>
      <c r="K18" s="157"/>
      <c r="L18" s="157"/>
      <c r="M18" s="157"/>
    </row>
    <row r="19" spans="1:13" x14ac:dyDescent="0.2">
      <c r="A19" s="157"/>
      <c r="B19" s="157"/>
      <c r="C19" s="157"/>
      <c r="D19" s="157"/>
      <c r="E19" s="157"/>
      <c r="F19" s="157"/>
      <c r="G19" s="157"/>
      <c r="H19" s="157"/>
      <c r="I19" s="157"/>
      <c r="J19" s="157"/>
      <c r="K19" s="157"/>
      <c r="L19" s="157"/>
      <c r="M19" s="157"/>
    </row>
    <row r="20" spans="1:13" x14ac:dyDescent="0.2">
      <c r="A20" s="157"/>
      <c r="B20" s="157"/>
      <c r="C20" s="157"/>
      <c r="D20" s="157"/>
      <c r="E20" s="157"/>
      <c r="F20" s="157"/>
      <c r="G20" s="157"/>
      <c r="H20" s="157"/>
      <c r="I20" s="157"/>
      <c r="J20" s="157"/>
      <c r="K20" s="157"/>
      <c r="L20" s="157"/>
      <c r="M20" s="157"/>
    </row>
    <row r="21" spans="1:13" x14ac:dyDescent="0.2">
      <c r="A21" s="157"/>
      <c r="B21" s="157"/>
      <c r="C21" s="157"/>
      <c r="D21" s="157"/>
      <c r="E21" s="157"/>
      <c r="F21" s="157"/>
      <c r="G21" s="157"/>
      <c r="H21" s="157"/>
      <c r="I21" s="157"/>
      <c r="J21" s="157"/>
      <c r="K21" s="157"/>
      <c r="L21" s="157"/>
      <c r="M21" s="157"/>
    </row>
    <row r="22" spans="1:13" x14ac:dyDescent="0.2">
      <c r="A22" s="157"/>
      <c r="B22" s="157"/>
      <c r="C22" s="157"/>
      <c r="D22" s="157"/>
      <c r="E22" s="157"/>
      <c r="F22" s="157"/>
      <c r="G22" s="157"/>
      <c r="H22" s="157"/>
      <c r="I22" s="157"/>
      <c r="J22" s="157"/>
      <c r="K22" s="157"/>
      <c r="L22" s="157"/>
      <c r="M22" s="157"/>
    </row>
    <row r="23" spans="1:13" x14ac:dyDescent="0.2">
      <c r="A23" s="157"/>
      <c r="B23" s="157"/>
      <c r="C23" s="157"/>
      <c r="D23" s="157"/>
      <c r="E23" s="157"/>
      <c r="F23" s="157"/>
      <c r="G23" s="157"/>
      <c r="H23" s="157"/>
      <c r="I23" s="157"/>
      <c r="J23" s="157"/>
      <c r="K23" s="157"/>
      <c r="L23" s="157"/>
      <c r="M23" s="157"/>
    </row>
    <row r="24" spans="1:13" x14ac:dyDescent="0.2">
      <c r="A24" s="157"/>
      <c r="B24" s="157"/>
      <c r="C24" s="157"/>
      <c r="D24" s="157"/>
      <c r="E24" s="157"/>
      <c r="F24" s="157"/>
      <c r="G24" s="157"/>
      <c r="H24" s="157"/>
      <c r="I24" s="157"/>
      <c r="J24" s="157"/>
      <c r="K24" s="157"/>
      <c r="L24" s="157"/>
      <c r="M24" s="157"/>
    </row>
    <row r="25" spans="1:13" x14ac:dyDescent="0.2">
      <c r="A25" s="157"/>
      <c r="B25" s="157"/>
      <c r="C25" s="157"/>
      <c r="D25" s="157"/>
      <c r="E25" s="157"/>
      <c r="F25" s="157"/>
      <c r="G25" s="157"/>
      <c r="H25" s="157"/>
      <c r="I25" s="157"/>
      <c r="J25" s="157"/>
      <c r="K25" s="157"/>
      <c r="L25" s="157"/>
      <c r="M25" s="157"/>
    </row>
    <row r="26" spans="1:13" x14ac:dyDescent="0.2">
      <c r="A26" s="157"/>
      <c r="B26" s="157"/>
      <c r="C26" s="157"/>
      <c r="D26" s="157"/>
      <c r="E26" s="157"/>
      <c r="F26" s="157"/>
      <c r="G26" s="157"/>
      <c r="H26" s="157"/>
      <c r="I26" s="157"/>
      <c r="J26" s="157"/>
      <c r="K26" s="157"/>
      <c r="L26" s="157"/>
      <c r="M26" s="157"/>
    </row>
    <row r="27" spans="1:13" x14ac:dyDescent="0.2">
      <c r="A27" s="157"/>
      <c r="B27" s="157"/>
      <c r="C27" s="157"/>
      <c r="D27" s="157"/>
      <c r="E27" s="157"/>
      <c r="F27" s="157"/>
      <c r="G27" s="157"/>
      <c r="H27" s="157"/>
      <c r="I27" s="157"/>
      <c r="J27" s="157"/>
      <c r="K27" s="157"/>
      <c r="L27" s="157"/>
      <c r="M27" s="157"/>
    </row>
    <row r="28" spans="1:13" x14ac:dyDescent="0.2">
      <c r="A28" s="157"/>
      <c r="B28" s="157"/>
      <c r="C28" s="157"/>
      <c r="D28" s="157"/>
      <c r="E28" s="157"/>
      <c r="F28" s="157"/>
      <c r="G28" s="157"/>
      <c r="H28" s="157"/>
      <c r="I28" s="157"/>
      <c r="J28" s="157"/>
      <c r="K28" s="157"/>
      <c r="L28" s="157"/>
      <c r="M28" s="157"/>
    </row>
    <row r="29" spans="1:13" x14ac:dyDescent="0.2">
      <c r="A29" s="157"/>
      <c r="B29" s="157"/>
      <c r="C29" s="157"/>
      <c r="D29" s="157"/>
      <c r="E29" s="157"/>
      <c r="F29" s="157"/>
      <c r="G29" s="157"/>
      <c r="H29" s="157"/>
      <c r="I29" s="157"/>
      <c r="J29" s="157"/>
      <c r="K29" s="157"/>
      <c r="L29" s="157"/>
      <c r="M29" s="157"/>
    </row>
    <row r="30" spans="1:13" x14ac:dyDescent="0.2">
      <c r="A30" s="157"/>
      <c r="B30" s="157"/>
      <c r="C30" s="157"/>
      <c r="D30" s="157"/>
      <c r="E30" s="157"/>
      <c r="F30" s="157"/>
      <c r="G30" s="157"/>
      <c r="H30" s="157"/>
      <c r="I30" s="157"/>
      <c r="J30" s="157"/>
      <c r="K30" s="157"/>
      <c r="L30" s="157"/>
      <c r="M30" s="157"/>
    </row>
    <row r="31" spans="1:13" x14ac:dyDescent="0.2">
      <c r="A31" s="157"/>
      <c r="B31" s="157"/>
      <c r="C31" s="157"/>
      <c r="D31" s="157"/>
      <c r="E31" s="157"/>
      <c r="F31" s="157"/>
      <c r="G31" s="157"/>
      <c r="H31" s="157"/>
      <c r="I31" s="157"/>
      <c r="J31" s="157"/>
      <c r="K31" s="157"/>
      <c r="L31" s="157"/>
      <c r="M31" s="157"/>
    </row>
    <row r="32" spans="1:13" x14ac:dyDescent="0.2">
      <c r="A32" s="157"/>
      <c r="B32" s="157"/>
      <c r="C32" s="157"/>
      <c r="D32" s="157"/>
      <c r="E32" s="157"/>
      <c r="F32" s="157"/>
      <c r="G32" s="157"/>
      <c r="H32" s="157"/>
      <c r="I32" s="157"/>
      <c r="J32" s="157"/>
      <c r="K32" s="157"/>
      <c r="L32" s="157"/>
      <c r="M32" s="157"/>
    </row>
    <row r="33" spans="1:13" x14ac:dyDescent="0.2">
      <c r="A33" s="157"/>
      <c r="B33" s="157"/>
      <c r="C33" s="157"/>
      <c r="D33" s="157"/>
      <c r="E33" s="157"/>
      <c r="F33" s="157"/>
      <c r="G33" s="157"/>
      <c r="H33" s="157"/>
      <c r="I33" s="157"/>
      <c r="J33" s="157"/>
      <c r="K33" s="157"/>
      <c r="L33" s="157"/>
      <c r="M33" s="157"/>
    </row>
    <row r="34" spans="1:13" x14ac:dyDescent="0.2">
      <c r="A34" s="157"/>
      <c r="B34" s="157"/>
      <c r="C34" s="157"/>
      <c r="D34" s="157"/>
      <c r="E34" s="157"/>
      <c r="F34" s="157"/>
      <c r="G34" s="157"/>
      <c r="H34" s="157"/>
      <c r="I34" s="157"/>
      <c r="J34" s="157"/>
      <c r="K34" s="157"/>
      <c r="L34" s="157"/>
      <c r="M34" s="157"/>
    </row>
    <row r="35" spans="1:13" x14ac:dyDescent="0.2">
      <c r="A35" s="157"/>
      <c r="B35" s="157"/>
      <c r="C35" s="157"/>
      <c r="D35" s="157"/>
      <c r="E35" s="157"/>
      <c r="F35" s="157"/>
      <c r="G35" s="157"/>
      <c r="H35" s="157"/>
      <c r="I35" s="157"/>
      <c r="J35" s="157"/>
      <c r="K35" s="157"/>
      <c r="L35" s="157"/>
      <c r="M35" s="157"/>
    </row>
    <row r="36" spans="1:13" x14ac:dyDescent="0.2">
      <c r="A36" s="157"/>
      <c r="B36" s="157"/>
      <c r="C36" s="157"/>
      <c r="D36" s="157"/>
      <c r="E36" s="157"/>
      <c r="F36" s="157"/>
      <c r="G36" s="157"/>
      <c r="H36" s="157"/>
      <c r="I36" s="157"/>
      <c r="J36" s="157"/>
      <c r="K36" s="157"/>
      <c r="L36" s="157"/>
      <c r="M36" s="157"/>
    </row>
    <row r="37" spans="1:13" x14ac:dyDescent="0.2">
      <c r="A37" s="157"/>
      <c r="B37" s="157"/>
      <c r="C37" s="157"/>
      <c r="D37" s="157"/>
      <c r="E37" s="157"/>
      <c r="F37" s="157"/>
      <c r="G37" s="157"/>
      <c r="H37" s="157"/>
      <c r="I37" s="157"/>
      <c r="J37" s="157"/>
      <c r="K37" s="157"/>
      <c r="L37" s="157"/>
      <c r="M37" s="157"/>
    </row>
    <row r="38" spans="1:13" x14ac:dyDescent="0.2">
      <c r="A38" s="157"/>
      <c r="B38" s="157"/>
      <c r="C38" s="157"/>
      <c r="D38" s="157"/>
      <c r="E38" s="157"/>
      <c r="F38" s="157"/>
      <c r="G38" s="157"/>
      <c r="H38" s="157"/>
      <c r="I38" s="157"/>
      <c r="J38" s="157"/>
      <c r="K38" s="157"/>
      <c r="L38" s="157"/>
      <c r="M38" s="157"/>
    </row>
    <row r="39" spans="1:13" x14ac:dyDescent="0.2">
      <c r="A39" s="157"/>
      <c r="B39" s="157"/>
      <c r="C39" s="157"/>
      <c r="D39" s="157"/>
      <c r="E39" s="157"/>
      <c r="F39" s="157"/>
      <c r="G39" s="157"/>
      <c r="H39" s="157"/>
      <c r="I39" s="157"/>
      <c r="J39" s="157"/>
      <c r="K39" s="157"/>
      <c r="L39" s="157"/>
      <c r="M39" s="157"/>
    </row>
    <row r="40" spans="1:13" x14ac:dyDescent="0.2">
      <c r="A40" s="157"/>
      <c r="B40" s="157"/>
      <c r="C40" s="157"/>
      <c r="D40" s="157"/>
      <c r="E40" s="157"/>
      <c r="F40" s="157"/>
      <c r="G40" s="157"/>
      <c r="H40" s="157"/>
      <c r="I40" s="157"/>
      <c r="J40" s="157"/>
      <c r="K40" s="157"/>
      <c r="L40" s="157"/>
      <c r="M40" s="157"/>
    </row>
    <row r="41" spans="1:13" x14ac:dyDescent="0.2">
      <c r="A41" s="157"/>
      <c r="B41" s="157"/>
      <c r="C41" s="157"/>
      <c r="D41" s="157"/>
      <c r="E41" s="157"/>
      <c r="F41" s="157"/>
      <c r="G41" s="157"/>
      <c r="H41" s="157"/>
      <c r="I41" s="157"/>
      <c r="J41" s="157"/>
      <c r="K41" s="157"/>
      <c r="L41" s="157"/>
      <c r="M41" s="157"/>
    </row>
    <row r="42" spans="1:13" x14ac:dyDescent="0.2">
      <c r="A42" s="157"/>
      <c r="B42" s="157"/>
      <c r="C42" s="157"/>
      <c r="D42" s="157"/>
      <c r="E42" s="157"/>
      <c r="F42" s="157"/>
      <c r="G42" s="157"/>
      <c r="H42" s="157"/>
      <c r="I42" s="157"/>
      <c r="J42" s="157"/>
      <c r="K42" s="157"/>
      <c r="L42" s="157"/>
      <c r="M42" s="157"/>
    </row>
    <row r="43" spans="1:13" ht="49.5" customHeight="1" x14ac:dyDescent="0.2">
      <c r="A43" s="157"/>
      <c r="B43" s="157"/>
      <c r="C43" s="157"/>
      <c r="D43" s="157"/>
      <c r="E43" s="157"/>
      <c r="F43" s="157"/>
      <c r="G43" s="157"/>
      <c r="H43" s="157"/>
      <c r="I43" s="157"/>
      <c r="J43" s="157"/>
      <c r="K43" s="157"/>
      <c r="L43" s="157"/>
      <c r="M43" s="157"/>
    </row>
  </sheetData>
  <sheetProtection algorithmName="SHA-512" hashValue="DGr8JQ9goqLv6NLrqBPUtNSYgqevO0HCStUQn/tGxd18IBDii0FJs83x5gwmjgpVpPLyICl4D8Prueq7HttwYA==" saltValue="Kxlut9DDgZtH43bdmX3jLA==" spinCount="100000" sheet="1" objects="1" scenarios="1"/>
  <mergeCells count="1">
    <mergeCell ref="A1:M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E600E56F4FE747ADCB8974970F1FA9" ma:contentTypeVersion="6" ma:contentTypeDescription="Create a new document." ma:contentTypeScope="" ma:versionID="a2d598d628aa53cc8d389f18f77a0978">
  <xsd:schema xmlns:xsd="http://www.w3.org/2001/XMLSchema" xmlns:xs="http://www.w3.org/2001/XMLSchema" xmlns:p="http://schemas.microsoft.com/office/2006/metadata/properties" xmlns:ns2="f9821a50-13ad-4207-9302-f4820db65f9d" xmlns:ns3="bdb30a4f-e484-4304-b6b2-097bb0fc898f" targetNamespace="http://schemas.microsoft.com/office/2006/metadata/properties" ma:root="true" ma:fieldsID="7ab4020e0daae049648ef686c292a5fb" ns2:_="" ns3:_="">
    <xsd:import namespace="f9821a50-13ad-4207-9302-f4820db65f9d"/>
    <xsd:import namespace="bdb30a4f-e484-4304-b6b2-097bb0fc898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21a50-13ad-4207-9302-f4820db65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30a4f-e484-4304-b6b2-097bb0fc898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D666F4-97D0-41DB-BDC0-505B004CB129}">
  <ds:schemaRefs>
    <ds:schemaRef ds:uri="http://schemas.microsoft.com/sharepoint/v3/contenttype/forms"/>
  </ds:schemaRefs>
</ds:datastoreItem>
</file>

<file path=customXml/itemProps2.xml><?xml version="1.0" encoding="utf-8"?>
<ds:datastoreItem xmlns:ds="http://schemas.openxmlformats.org/officeDocument/2006/customXml" ds:itemID="{42854DD3-1BC6-495E-AA69-B2E13F468731}">
  <ds:schemaRefs>
    <ds:schemaRef ds:uri="http://purl.org/dc/elements/1.1/"/>
    <ds:schemaRef ds:uri="69199a6a-3dd6-4a64-bcab-fb7d0cdede8d"/>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DC2D390-64E4-4321-8001-685D5E7B456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Title</vt:lpstr>
      <vt:lpstr>User Guide</vt:lpstr>
      <vt:lpstr>Results</vt:lpstr>
      <vt:lpstr>Calculation</vt:lpstr>
      <vt:lpstr>Mapping</vt:lpstr>
      <vt:lpstr>Parameters</vt:lpstr>
      <vt:lpstr>Disclaimer</vt:lpstr>
      <vt:lpstr>Additional_Cost_Loading</vt:lpstr>
      <vt:lpstr>CBI_Parameters</vt:lpstr>
      <vt:lpstr>Event_Industries_Exposed</vt:lpstr>
      <vt:lpstr>Fixed_Costs_by_Ind_Rev</vt:lpstr>
      <vt:lpstr>Gross_Profit_Margin</vt:lpstr>
      <vt:lpstr>Region_downscale_factor</vt:lpstr>
      <vt:lpstr>Regional_DS_Lookup</vt:lpstr>
      <vt:lpstr>Revenue_Impact_Percentage</vt:lpstr>
      <vt:lpstr>Risk_Category_matrix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Brunner Dr. Stephan - Munich-MR</dc:creator>
  <cp:keywords/>
  <dc:description/>
  <cp:lastModifiedBy>Michael Georgiou</cp:lastModifiedBy>
  <cp:revision/>
  <dcterms:created xsi:type="dcterms:W3CDTF">2023-11-06T14:13:05Z</dcterms:created>
  <dcterms:modified xsi:type="dcterms:W3CDTF">2024-10-03T09:45:59Z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812621-54a3-4807-a8e5-5110932761ab_Enabled">
    <vt:lpwstr>true</vt:lpwstr>
  </property>
  <property fmtid="{D5CDD505-2E9C-101B-9397-08002B2CF9AE}" pid="3" name="MSIP_Label_b6812621-54a3-4807-a8e5-5110932761ab_SetDate">
    <vt:lpwstr>2023-11-07T10:24:05Z</vt:lpwstr>
  </property>
  <property fmtid="{D5CDD505-2E9C-101B-9397-08002B2CF9AE}" pid="4" name="MSIP_Label_b6812621-54a3-4807-a8e5-5110932761ab_Method">
    <vt:lpwstr>Privileged</vt:lpwstr>
  </property>
  <property fmtid="{D5CDD505-2E9C-101B-9397-08002B2CF9AE}" pid="5" name="MSIP_Label_b6812621-54a3-4807-a8e5-5110932761ab_Name">
    <vt:lpwstr>b6812621-54a3-4807-a8e5-5110932761ab</vt:lpwstr>
  </property>
  <property fmtid="{D5CDD505-2E9C-101B-9397-08002B2CF9AE}" pid="6" name="MSIP_Label_b6812621-54a3-4807-a8e5-5110932761ab_SiteId">
    <vt:lpwstr>582259a1-dcaa-4cca-b1cf-e60d3f045ecd</vt:lpwstr>
  </property>
  <property fmtid="{D5CDD505-2E9C-101B-9397-08002B2CF9AE}" pid="7" name="MSIP_Label_b6812621-54a3-4807-a8e5-5110932761ab_ActionId">
    <vt:lpwstr>272929b4-65f7-4ab3-a3cf-76f7fe7668aa</vt:lpwstr>
  </property>
  <property fmtid="{D5CDD505-2E9C-101B-9397-08002B2CF9AE}" pid="8" name="MSIP_Label_b6812621-54a3-4807-a8e5-5110932761ab_ContentBits">
    <vt:lpwstr>0</vt:lpwstr>
  </property>
  <property fmtid="{D5CDD505-2E9C-101B-9397-08002B2CF9AE}" pid="9" name="ContentTypeId">
    <vt:lpwstr>0x01010019E600E56F4FE747ADCB8974970F1FA9</vt:lpwstr>
  </property>
  <property fmtid="{D5CDD505-2E9C-101B-9397-08002B2CF9AE}" pid="10" name="MediaServiceImageTags">
    <vt:lpwstr/>
  </property>
</Properties>
</file>